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9.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Executive Summary" sheetId="2" state="visible" r:id="rId4"/>
    <sheet name="Research &amp; Assumption Support" sheetId="3" state="visible" r:id="rId5"/>
    <sheet name="Historical Financials &amp; KPIs" sheetId="4" state="visible" r:id="rId6"/>
    <sheet name="Assumptions" sheetId="5" state="visible" r:id="rId7"/>
    <sheet name="Revenue Build" sheetId="6" state="visible" r:id="rId8"/>
    <sheet name="Gross Margin Build" sheetId="7" state="visible" r:id="rId9"/>
    <sheet name="SG&amp;A Build" sheetId="8" state="visible" r:id="rId10"/>
    <sheet name="PP&amp;E-Capex Schedule" sheetId="9" state="visible" r:id="rId11"/>
    <sheet name="Working Capital Schedule" sheetId="10" state="visible" r:id="rId12"/>
    <sheet name="Debt &amp; Interest Schedule" sheetId="11" state="visible" r:id="rId13"/>
    <sheet name="Income Statement" sheetId="12" state="visible" r:id="rId14"/>
    <sheet name="Balance Sheet" sheetId="13" state="visible" r:id="rId15"/>
    <sheet name="Cash Flow Statement" sheetId="14" state="visible" r:id="rId16"/>
    <sheet name="Capital Allocation" sheetId="15" state="visible" r:id="rId17"/>
    <sheet name="Scenario Analysis" sheetId="16" state="visible" r:id="rId18"/>
    <sheet name="Trading Comps" sheetId="17" state="visible" r:id="rId19"/>
    <sheet name="DCF" sheetId="18" state="visible" r:id="rId20"/>
    <sheet name="Football Field" sheetId="19" state="visible" r:id="rId21"/>
    <sheet name="Model Checks" sheetId="20" state="visible" r:id="rId2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<sst xmlns="http://schemas.openxmlformats.org/spreadsheetml/2006/main" count="1343" uniqueCount="947">
  <si>
    <t xml:space="preserve">TARGET CORPORATION</t>
  </si>
  <si>
    <t xml:space="preserve">NYSE: TGT  |  Associate-Grade Equity Research Financial Model</t>
  </si>
  <si>
    <t xml:space="preserve">Consumer Discretionary — General Merchandise / Big-Box Retail</t>
  </si>
  <si>
    <t xml:space="preserve">Prepared by Jasdeep Singh  |  Buy-Side Interview Portfolio Project</t>
  </si>
  <si>
    <t xml:space="preserve">Prepared August 19, 2026 — figures in US$ millions unless noted; per-share data in US$. Current price as of Aug 19, 2026 close: $159.00.</t>
  </si>
  <si>
    <t xml:space="preserve">MARKET SNAPSHOT (as of 8/19/2026)</t>
  </si>
  <si>
    <t xml:space="preserve">Share price</t>
  </si>
  <si>
    <t xml:space="preserve">52-week range</t>
  </si>
  <si>
    <t xml:space="preserve">$83.44 – $161.98</t>
  </si>
  <si>
    <t xml:space="preserve">Market capitalization ($mm)</t>
  </si>
  <si>
    <t xml:space="preserve">Enterprise value ($mm, TTM)</t>
  </si>
  <si>
    <t xml:space="preserve">Diluted shares outstanding (mm)</t>
  </si>
  <si>
    <t xml:space="preserve">Dividend / share (quarterly, declared Jun-26)</t>
  </si>
  <si>
    <t xml:space="preserve">Dividend yield (annualized)</t>
  </si>
  <si>
    <t xml:space="preserve">P/E (TTM)</t>
  </si>
  <si>
    <t xml:space="preserve">EV/EBITDA (TTM)</t>
  </si>
  <si>
    <t xml:space="preserve">Beta used in WACC (blended)</t>
  </si>
  <si>
    <t xml:space="preserve">WACC</t>
  </si>
  <si>
    <t xml:space="preserve">Analyst consensus (38 analysts)</t>
  </si>
  <si>
    <t xml:space="preserve">Hold</t>
  </si>
  <si>
    <t xml:space="preserve">Consensus price target (average / median)</t>
  </si>
  <si>
    <t xml:space="preserve">$144.40 / $147.50</t>
  </si>
  <si>
    <t xml:space="preserve">DCF implied value — Base case, blended</t>
  </si>
  <si>
    <t xml:space="preserve">Green cells link live to the model (Trading Comps / DCF tabs); blue cells are dated market data sourced Aug 2026 (WallStreetZen, stockanalysis.com analyst-forecast page).</t>
  </si>
  <si>
    <t xml:space="preserve">MODEL NAVIGATION (21-tab associate-grade architecture)</t>
  </si>
  <si>
    <t xml:space="preserve">▸  Assumptions — scenario switch (Bull/Base/Bear), tax, macro &amp; valuation inputs</t>
  </si>
  <si>
    <t xml:space="preserve">▸  Research &amp; Assumption Support — 30-item sourced audit trail behind every major forecast driver</t>
  </si>
  <si>
    <t xml:space="preserve">▸  Historical Financials &amp; KPIs — consolidated FY2021A-FY2025A reference</t>
  </si>
  <si>
    <t xml:space="preserve">▸  Revenue Build — bottoms-up: store roll-forward, traffic × ticket, new-store ramp</t>
  </si>
  <si>
    <t xml:space="preserve">▸  Gross Margin Build — named bridge: mix/freight/shrink/markdown/tariff</t>
  </si>
  <si>
    <t xml:space="preserve">▸  SG&amp;A Build — five named components, each with its own driver</t>
  </si>
  <si>
    <t xml:space="preserve">▸  PP&amp;E/Capex Schedule — capex by category, vintage-style D&amp;A</t>
  </si>
  <si>
    <t xml:space="preserve">▸  Working Capital Schedule — DIO/DPO by component</t>
  </si>
  <si>
    <t xml:space="preserve">▸  Debt &amp; Interest Schedule — by maturity band, average-balance interest, refinancing</t>
  </si>
  <si>
    <t xml:space="preserve">▸  Income Statement — fully linked, no hardcoded forecast lines</t>
  </si>
  <si>
    <t xml:space="preserve">▸  Capital Allocation — FCF waterfall, buybacks, diluted share count</t>
  </si>
  <si>
    <t xml:space="preserve">▸  Cash Flow Statement — ending cash is a computed output, never a plug</t>
  </si>
  <si>
    <t xml:space="preserve">▸  Balance Sheet — balances to exactly $0 in every year, every scenario</t>
  </si>
  <si>
    <t xml:space="preserve">▸  Model Checks — 7 named checks, all must read TRUE</t>
  </si>
  <si>
    <t xml:space="preserve">▸  Trading Comps — peer selection rationale, percentile stats, bottom-up beta</t>
  </si>
  <si>
    <t xml:space="preserve">▸  DCF — sourced WACC, dual terminal value, lease-adjusted bridge, 4 sensitivity grids</t>
  </si>
  <si>
    <t xml:space="preserve">▸  Scenario Analysis — Bull/Base/Bear driver-level detail + headline output snapshot</t>
  </si>
  <si>
    <t xml:space="preserve">▸  Football Field — dynamically-linked valuation range summary + chart</t>
  </si>
  <si>
    <t xml:space="preserve">▸  Executive Summary — investment thesis, rating, catalysts, risks</t>
  </si>
  <si>
    <t xml:space="preserve">▸  Cover — this tab</t>
  </si>
  <si>
    <t xml:space="preserve">SOURCES</t>
  </si>
  <si>
    <t xml:space="preserve">• Target Corp SEC EDGAR 10-K/10-Q filings (CIK 0000027419), FY2021A-FY2025A + Q1-Q2 FY2026</t>
  </si>
  <si>
    <t xml:space="preserve">• Target Corp Q4/full-year, Q1 FY2026 and Q2 FY2026 earnings releases and call transcripts (corporate.target.com)</t>
  </si>
  <si>
    <t xml:space="preserve">• Target's own Five-Year Financial Summary (2025 Annual Report)</t>
  </si>
  <si>
    <t xml:space="preserve">• Trading comps &amp; peer betas: stockanalysis.com / S&amp;P Capital IQ — peers as of Aug 17, 2026; TGT's own row as of Aug 19, 2026 (see Trading Comps tab for the dating detail)</t>
  </si>
  <si>
    <t xml:space="preserve">• Risk-free rate: FRED DGS10, Aug 13, 2026. Equity risk premium: Damodaran, Jan-2026 vintage</t>
  </si>
  <si>
    <t xml:space="preserve">• 52-week range &amp; analyst consensus: WallStreetZen and stockanalysis.com forecast pages, sourced Aug 19, 2026</t>
  </si>
  <si>
    <t xml:space="preserve">HOW TO USE THIS MODEL</t>
  </si>
  <si>
    <t xml:space="preserve">Assumptions!B5 is a scenario switch (1=Bull, 2=Base, 3=Bear) — it re-drives new-store pace, traffic,</t>
  </si>
  <si>
    <t xml:space="preserve">remodel cadence, gross-margin bps, SG&amp;A wage inflation, working-capital days, and buyback payout</t>
  </si>
  <si>
    <t xml:space="preserve">through Revenue Build, Gross Margin Build, SG&amp;A Build, Working Capital Schedule, Capital Allocation,</t>
  </si>
  <si>
    <t xml:space="preserve">the 3 statements, the DCF, and the implied share price — nothing else needs to change.</t>
  </si>
  <si>
    <t xml:space="preserve">See the Scenario Analysis tab for a captured 3-case comparison and the Research &amp; Assumption</t>
  </si>
  <si>
    <t xml:space="preserve">Support tab for the evidentiary basis behind every major driver.</t>
  </si>
  <si>
    <t xml:space="preserve">Executive Summary — Target Corporation (NYSE: TGT)</t>
  </si>
  <si>
    <t xml:space="preserve">Rating: HOLD / Neutral  |  As of Aug 19, 2026</t>
  </si>
  <si>
    <t xml:space="preserve">INVESTMENT THESIS</t>
  </si>
  <si>
    <t xml:space="preserve">Target's Q2 FY2026 print (Aug 19) confirmed the turnaround signal seen in Q1 is real, not a one-quarter</t>
  </si>
  <si>
    <t xml:space="preserve">accident: comp sales +3.8% (traffic +3.6%, all key initiatives — food reset, Fun 101, Beauty Studio prep —</t>
  </si>
  <si>
    <t xml:space="preserve">cited as drivers) on top of Q1's +5.6%, under new CEO Michael Fiddelke's 'Next Chapter' plan (capex +27%</t>
  </si>
  <si>
    <t xml:space="preserve">YoY YTD, $5.0bn FY26 guide reaffirmed). Traffic decelerated from Q1's +4.4% to +3.6% roughly as management</t>
  </si>
  <si>
    <t xml:space="preserve">itself flagged, but stayed solidly positive and broad-based — the more reassuring of the two ways this could</t>
  </si>
  <si>
    <t xml:space="preserve">have gone. Full-year guidance was raised (revenue growth ~5%, EPS $9.90-$10.90) on genuine underlying margin</t>
  </si>
  <si>
    <t xml:space="preserve">improvement, separate from a one-time $994mm pretax ($1.65/share) IEEPA tariff-duty refund booked in Q2</t>
  </si>
  <si>
    <t xml:space="preserve">(explicitly excluded from this model's forecast run-rate). The stock re-rated +4.28% on the print to a new</t>
  </si>
  <si>
    <t xml:space="preserve">52-week high ($161.98 intraday, closing $159.00). This model's Base-case DCF (blended $132.70/share) still</t>
  </si>
  <si>
    <t xml:space="preserve">sits meaningfully BELOW the current price — the market's one-day reaction outran both the DCF and where</t>
  </si>
  <si>
    <t xml:space="preserve">Street price targets (avg $144.40) had been set — and the central question is no longer 'is the inflection</t>
  </si>
  <si>
    <t xml:space="preserve">real' (the evidence now says yes, moderated) but 'has the market overpaid for a real but still unproven</t>
  </si>
  <si>
    <t xml:space="preserve">turnaround.'</t>
  </si>
  <si>
    <t xml:space="preserve">KEY METRICS AT A GLANCE</t>
  </si>
  <si>
    <t xml:space="preserve">Metric</t>
  </si>
  <si>
    <t xml:space="preserve">Value</t>
  </si>
  <si>
    <t xml:space="preserve">Current share price</t>
  </si>
  <si>
    <t xml:space="preserve">FY2026E revenue ($mm)</t>
  </si>
  <si>
    <t xml:space="preserve">FY2026E operating margin %</t>
  </si>
  <si>
    <t xml:space="preserve">Market cap ($mm)</t>
  </si>
  <si>
    <t xml:space="preserve">FY2025A comp sales growth %</t>
  </si>
  <si>
    <t xml:space="preserve">Q2 FY2026A comp / traffic growth %</t>
  </si>
  <si>
    <t xml:space="preserve">0.038 / 0.036</t>
  </si>
  <si>
    <t xml:space="preserve">DCF Base-case blended value</t>
  </si>
  <si>
    <t xml:space="preserve">FY2026E capex guidance ($mm)</t>
  </si>
  <si>
    <t xml:space="preserve">DCF Bull / Bear blended value</t>
  </si>
  <si>
    <t xml:space="preserve">$221.52 / $112.36</t>
  </si>
  <si>
    <t xml:space="preserve">Net debt / EBITDA (FY2025A, x)</t>
  </si>
  <si>
    <t xml:space="preserve">Trading comps-implied range</t>
  </si>
  <si>
    <t xml:space="preserve">Analyst consensus (avg / median)</t>
  </si>
  <si>
    <t xml:space="preserve">Buyback authorization remaining ($bn)</t>
  </si>
  <si>
    <t xml:space="preserve">8.3</t>
  </si>
  <si>
    <t xml:space="preserve">BULL / BASE / BEAR AT A GLANCE (see Scenario Analysis tab for full driver-level detail)</t>
  </si>
  <si>
    <t xml:space="preserve">Bull</t>
  </si>
  <si>
    <t xml:space="preserve">Base</t>
  </si>
  <si>
    <t xml:space="preserve">Bear</t>
  </si>
  <si>
    <t xml:space="preserve">FY2032E revenue ($mm)</t>
  </si>
  <si>
    <t xml:space="preserve">142,609</t>
  </si>
  <si>
    <t xml:space="preserve">129,788</t>
  </si>
  <si>
    <t xml:space="preserve">123,282</t>
  </si>
  <si>
    <t xml:space="preserve">FY2032E operating margin %</t>
  </si>
  <si>
    <t xml:space="preserve">6.6%</t>
  </si>
  <si>
    <t xml:space="preserve">4.3%</t>
  </si>
  <si>
    <t xml:space="preserve">3.8%</t>
  </si>
  <si>
    <t xml:space="preserve">FY2032E diluted EPS ($)</t>
  </si>
  <si>
    <t xml:space="preserve">$20.43</t>
  </si>
  <si>
    <t xml:space="preserve">$9.42</t>
  </si>
  <si>
    <t xml:space="preserve">$7.36</t>
  </si>
  <si>
    <t xml:space="preserve">DCF implied value, blended ($)</t>
  </si>
  <si>
    <t xml:space="preserve">$221.52</t>
  </si>
  <si>
    <t xml:space="preserve">$132.70</t>
  </si>
  <si>
    <t xml:space="preserve">$112.36</t>
  </si>
  <si>
    <t xml:space="preserve">KEY CATALYSTS</t>
  </si>
  <si>
    <t xml:space="preserve">RESOLVED — Q2 FY2026 earnings, Wed Aug 19, 2026: beat and raise. EPS $4.11 (vs. $2.31 consensus; $1.65</t>
  </si>
  <si>
    <t xml:space="preserve">of the beat was a one-time tariff-duty refund, ex-refund EPS still +~20% YoY), revenue $26.5bn (+5.3%,</t>
  </si>
  <si>
    <t xml:space="preserve">vs. ~$26.10bn consensus), comp sales +3.8% (traffic +3.6%, decelerating from Q1's +4.4% but staying solidly</t>
  </si>
  <si>
    <t xml:space="preserve">positive and broad-based). Full-year guidance raised (~5% revenue growth, EPS $9.90-$10.90). Stock +4.28%</t>
  </si>
  <si>
    <t xml:space="preserve">to a new 52-week high. Next catalyst: Q3 FY2026 earnings (expected ~mid-November 2026) — the read on</t>
  </si>
  <si>
    <t xml:space="preserve">whether the moderated-but-real traffic trend holds into the holiday build and whether underlying (ex-refund)</t>
  </si>
  <si>
    <t xml:space="preserve">margin improvement continues without the one-time boost.</t>
  </si>
  <si>
    <t xml:space="preserve">Next Chapter plan execution — 100+ remodels underway, 130+ planned for FY2026 (on track per Q2 commentary);</t>
  </si>
  <si>
    <t xml:space="preserve">capex $2.4bn YTD (+~30% YoY) against the $5.0bn full-year guide — tracking the plan, a reversal of the</t>
  </si>
  <si>
    <t xml:space="preserve">FY2024/FY2025 low-end-of-guidance pattern that had been a live execution risk.</t>
  </si>
  <si>
    <t xml:space="preserve">Tariff policy — the Q2 refund is a one-time item (explicitly excluded from this model's forecast run-rate);</t>
  </si>
  <si>
    <t xml:space="preserve">the ongoing tariff cost-pressure assumption in the Gross Margin Build is UNCHANGED by this event and</t>
  </si>
  <si>
    <t xml:space="preserve">remains the single most policy-dependent, least-certain line in the gross-margin bridge.</t>
  </si>
  <si>
    <t xml:space="preserve">KEY RISKS</t>
  </si>
  <si>
    <t xml:space="preserve">Margin recovery remains structurally incomplete — even Q2 FY2026's reported 9.6% operating margin was</t>
  </si>
  <si>
    <t xml:space="preserve">~3.7pts inflated by the one-time tariff refund; underlying (ex-refund) margin is still well below the FY2021</t>
  </si>
  <si>
    <t xml:space="preserve">peak (8.4%), and no management long-range financial framework quantifies the full path back (a confirmed</t>
  </si>
  <si>
    <t xml:space="preserve">disclosure gap — see Research &amp; Assumption Support tab item #30).</t>
  </si>
  <si>
    <t xml:space="preserve">The market may have already overpaid for Q2's good news — the stock's one-day +4.28% move to a new</t>
  </si>
  <si>
    <t xml:space="preserve">52-week high outran the Street consensus target (avg $144.40 vs. the $159.00 price), and this model's</t>
  </si>
  <si>
    <t xml:space="preserve">Base-case DCF sits meaningfully below the current price.</t>
  </si>
  <si>
    <t xml:space="preserve">Capex execution is now tracking the plan ($2.4bn YTD vs. $5.0bn full-year guide) — a reversal of the</t>
  </si>
  <si>
    <t xml:space="preserve">FY2024/FY2025 low-end-of-guidance pattern, but only 2 quarters into a stated multi-year commitment.</t>
  </si>
  <si>
    <t xml:space="preserve">Buyback pauses have real precedent (FY2023: $0mm; Q2 FY2026: also $0mm) — capital return is explicitly</t>
  </si>
  <si>
    <t xml:space="preserve">the residual/discretionary use of cash after reinvestment and the dividend, not a floor investors can rely on.</t>
  </si>
  <si>
    <t xml:space="preserve">Valuation is highly sensitive to the multi-year revenue trajectory (see DCF Sensitivity Grids 3-4) —</t>
  </si>
  <si>
    <t xml:space="preserve">more so than to WACC or terminal-value mechanics alone.</t>
  </si>
  <si>
    <t xml:space="preserve">WHAT WOULD CHANGE THIS VIEW</t>
  </si>
  <si>
    <t xml:space="preserve">Q2 FY2026 scorecard against the pre-print triggers: comp sales +3.8% (cleared the '+3% holds' Buy bar) AND</t>
  </si>
  <si>
    <t xml:space="preserve">underlying margin genuinely improved (~50bps ex-refund per guidance, not just favorable shrink/tariff timing)</t>
  </si>
  <si>
    <t xml:space="preserve">— a mixed-to-positive read; management still has not provided a multi-year financial framework, so a full</t>
  </si>
  <si>
    <t xml:space="preserve">upgrade trigger is not yet met.</t>
  </si>
  <si>
    <t xml:space="preserve">Upgrade to Buy if: Q3 FY2026 comp sales hold at a similar (not accelerating) pace into the holiday build</t>
  </si>
  <si>
    <t xml:space="preserve">AND capex continues tracking the $5.0bn guide AND the buyback resumes (signaling management's own</t>
  </si>
  <si>
    <t xml:space="preserve">confidence in the cash-flow outlook) AND/OR the price pulls back toward the Base-case DCF ($132.70)</t>
  </si>
  <si>
    <t xml:space="preserve">offering a better entry point on an already-confirmed operating story.</t>
  </si>
  <si>
    <t xml:space="preserve">Downgrade to Sell if: Q3 FY2026 traffic decelerates further toward flat/negative (extending the Q1-&gt;Q2</t>
  </si>
  <si>
    <t xml:space="preserve">deceleration trend rather than stabilizing) OR the underlying (ex-refund) margin gain reverses OR the</t>
  </si>
  <si>
    <t xml:space="preserve">buyback stays paused for a 3rd consecutive quarter (signaling management caution the raised guidance</t>
  </si>
  <si>
    <t xml:space="preserve">doesn't fully justify).</t>
  </si>
  <si>
    <t xml:space="preserve">Research &amp; Assumption Support — Audit Trail</t>
  </si>
  <si>
    <t xml:space="preserve">Every major forecast assumption in this model traces to evidence below, or is explicitly flagged as an analyst estimate with its methodology stated. This is a CONDENSED worksheet (30 items); the full version with complete management-call quotes and citations is the companion project doc 'tgt-research-assumption-support.md'.</t>
  </si>
  <si>
    <t xml:space="preserve">#</t>
  </si>
  <si>
    <t xml:space="preserve">Assumption</t>
  </si>
  <si>
    <t xml:space="preserve">Where in model</t>
  </si>
  <si>
    <t xml:space="preserve">Modeling conclusion</t>
  </si>
  <si>
    <t xml:space="preserve">Basis</t>
  </si>
  <si>
    <t xml:space="preserve">Key source</t>
  </si>
  <si>
    <t xml:space="preserve">Comp sales — traffic growth</t>
  </si>
  <si>
    <t xml:space="preserve">Revenue Build</t>
  </si>
  <si>
    <t xml:space="preserve">FY26E organic traffic +2.5%, still below the confirmed H1 blended actual (~+4.0%: Q1 +4.4%, Q2 +3.6%) on assumed H2 deceleration; glides to +1.2% long-run.</t>
  </si>
  <si>
    <t xml:space="preserve">H+M</t>
  </si>
  <si>
    <t xml:space="preserve">Q1 &amp; Q2 FY26 calls (CFO James Lee); historical KPI dataset</t>
  </si>
  <si>
    <t xml:space="preserve">Comp sales — ticket/basket growth</t>
  </si>
  <si>
    <t xml:space="preserve">FY26E +0.6% — H1 actual ran +1.1% (Q1) then flat (Q2); glide to +0.8% terminal — ticket has been flat/negative 4 of last 5 yrs.</t>
  </si>
  <si>
    <t xml:space="preserve">Earnings-call synthesis</t>
  </si>
  <si>
    <t xml:space="preserve">Remodel-driven traffic contribution</t>
  </si>
  <si>
    <t xml:space="preserve">Explicit formula: (stores remodeled ÷ avg store base) × 3% year-1 lift + × 3% year-2 incremental lift, using mgmt's own disclosed 2-4%/~3% figures. Remodel pace 130/yr FY26E-28E tapering to 100/yr — pace beyond FY26 is an analyst glide (disclosed).</t>
  </si>
  <si>
    <t xml:space="preserve">H+M+A</t>
  </si>
  <si>
    <t xml:space="preserve">Q1 FY25 call; Next Chapter release (3/2026)</t>
  </si>
  <si>
    <t xml:space="preserve">Store count / new-store pace</t>
  </si>
  <si>
    <t xml:space="preserve">FY26E +32 stores (mgmt guidance '30+'); FY27E-32E glide 30/28/27/26/25/25/25 toward the drifting '300 new stores' long-run target without assuming full pace prematurely.</t>
  </si>
  <si>
    <t xml:space="preserve">Earnings-call synthesis; Next Chapter release</t>
  </si>
  <si>
    <t xml:space="preserve">New-store revenue productivity ramp</t>
  </si>
  <si>
    <t xml:space="preserve">70% of mature store revenue in opening year (half-year convention), 90% year 2, 100% year 3+ — standard big-box industry ramp convention; Target discloses nothing at this granularity.</t>
  </si>
  <si>
    <t xml:space="preserve">A</t>
  </si>
  <si>
    <t xml:space="preserve">Analyst estimate — explicitly flagged, no company disclosure exists</t>
  </si>
  <si>
    <t xml:space="preserve">Other revenue growth (Roundel/Target Plus/membership)</t>
  </si>
  <si>
    <t xml:space="preserve">FY26E +18%, decelerating to +10% terminal — blended estimate off Target Plus GMV +35-60%, Roundel double-digit growth, membership revenue doubling YoY.</t>
  </si>
  <si>
    <t xml:space="preserve">Earnings-call synthesis; historical KPI dataset</t>
  </si>
  <si>
    <t xml:space="preserve">Gross margin — shrink bps</t>
  </si>
  <si>
    <t xml:space="preserve">Gross Margin Build</t>
  </si>
  <si>
    <t xml:space="preserve">Tailwind treated as essentially exhausted: +10bps FY26E only, 0bps FY27E+ — shrink is 'down to pre-pandemic levels' per mgmt's own (historically accurate) guidance.</t>
  </si>
  <si>
    <t xml:space="preserve">Earnings-call synthesis (shrink section)</t>
  </si>
  <si>
    <t xml:space="preserve">Gross margin — freight/supply chain bps</t>
  </si>
  <si>
    <t xml:space="preserve">+8bps/yr FY26E-28E, +5bps/yr thereafter — capex-tied to the new Houston/Colorado DC investments; held scenario-invariant as structural, not cyclical.</t>
  </si>
  <si>
    <t xml:space="preserve">Gross margin — markdown/promo intensity bps</t>
  </si>
  <si>
    <t xml:space="preserve">+15bps FY26E fading to 0bps by FY28E — continuation of the Q1 FY26 inflection ('chasing vs. canceling inventory'), normalizing rather than improving indefinitely.</t>
  </si>
  <si>
    <t xml:space="preserve">Gross margin — tariff/import cost bps</t>
  </si>
  <si>
    <t xml:space="preserve">-8bps/yr FY26E-27E fading to 0 by FY28E (Base); the single most policy-dependent, least-certain line — Bear models genuine escalation. Exogenous and explicitly flagged as uncertain.</t>
  </si>
  <si>
    <t xml:space="preserve">Earnings-call synthesis; tariff policy is exogenous</t>
  </si>
  <si>
    <t xml:space="preserve">Gross margin — mix bps (Roundel/Target Plus/membership)</t>
  </si>
  <si>
    <t xml:space="preserve">+5bps/yr structural tailwind, held scenario-invariant — mgmt explicitly confirms this mix shift is margin-accretive.</t>
  </si>
  <si>
    <t xml:space="preserve">M</t>
  </si>
  <si>
    <t xml:space="preserve">Q4 FY24 call (CFO Jim Lee, 'accretive to operating margin rate')</t>
  </si>
  <si>
    <t xml:space="preserve">SG&amp;A — store labor &amp; operations (~55% of base)</t>
  </si>
  <si>
    <t xml:space="preserve">SG&amp;A Build</t>
  </si>
  <si>
    <t xml:space="preserve">Driver = store-count growth + 3.0% wage inflation − 0.5pt/yr AI/productivity offset, NOT a blanket %-of-sales. Allocation % is an analyst estimate; the driver logic is evidence-based.</t>
  </si>
  <si>
    <t xml:space="preserve">Earnings-call synthesis (SG&amp;A section)</t>
  </si>
  <si>
    <t xml:space="preserve">SG&amp;A — corporate/G&amp;A (~15% of base)</t>
  </si>
  <si>
    <t xml:space="preserve">Driver = revenue growth + 2.5% inflation, LESS an explicit $180mm/yr HQ 'business transformation' savings program phased in from FY2026 — a real, quantified management disclosure.</t>
  </si>
  <si>
    <t xml:space="preserve">M+A</t>
  </si>
  <si>
    <t xml:space="preserve">Q3 FY25 call (~1,800 HQ roles, ~$180mm annualized savings)</t>
  </si>
  <si>
    <t xml:space="preserve">SG&amp;A — marketing (~8% of base)</t>
  </si>
  <si>
    <t xml:space="preserve">Held flat as % of revenue — no evidence of a structural change; Roundel's growth is a revenue story (#6), not a marketing-expense story.</t>
  </si>
  <si>
    <t xml:space="preserve">Allocation % and flat treatment both flagged as analyst estimates</t>
  </si>
  <si>
    <t xml:space="preserve">SG&amp;A — fulfillment &amp; distribution (~12% of base)</t>
  </si>
  <si>
    <t xml:space="preserve">Driver = digital penetration growth scaled at a sub-1:1 ratio (0.6x), reflecting the disclosed 'stores as hubs' efficiency (&gt;95% of digital fulfillment via existing stores).</t>
  </si>
  <si>
    <t xml:space="preserve">Earnings-call synthesis (digital/fulfillment section)</t>
  </si>
  <si>
    <t xml:space="preserve">SG&amp;A — occupancy (~7% of base)</t>
  </si>
  <si>
    <t xml:space="preserve">Driver = store-count growth (roughly fixed cost per store) — no specific occupancy commentary found; standard retail-modeling convention.</t>
  </si>
  <si>
    <t xml:space="preserve">Allocation % flagged as analyst estimate</t>
  </si>
  <si>
    <t xml:space="preserve">SG&amp;A — other/technology (~3% of base, residual)</t>
  </si>
  <si>
    <t xml:space="preserve">Explicit residual/plug BY DESIGN to make five named components sum to 100% of the FY25 starting base — the forecast GROWTH driver (revenue) is not a plug, only the starting split is.</t>
  </si>
  <si>
    <t xml:space="preserve">Residual allocation, explicitly labeled as such</t>
  </si>
  <si>
    <t xml:space="preserve">Capex — total FY2026E level</t>
  </si>
  <si>
    <t xml:space="preserve">PP&amp;E/Capex Schedule</t>
  </si>
  <si>
    <t xml:space="preserve">$5.0bn per explicit management guidance (+~25% YoY); FY27E+ glides toward ~4.0-4.3% of revenue between the FY22 peak (5.1%) and FY24 trough (2.7%).</t>
  </si>
  <si>
    <t xml:space="preserve">Next Chapter release; Q4 FY25/Q1 FY26 calls</t>
  </si>
  <si>
    <t xml:space="preserve">Capex allocation by category</t>
  </si>
  <si>
    <t xml:space="preserve">Analyst-derived starting split of FY26E's $5.0bn: new stores 15% / remodels 20% / supply chain 25% / technology 20% / maintenance 20%; each category then has its own driver (store count, remodel count, revenue, etc.).</t>
  </si>
  <si>
    <t xml:space="preserve">Qualitative mgmt confirmation of categories; no $ split disclosed — flagged</t>
  </si>
  <si>
    <t xml:space="preserve">Depreciation / composite useful life</t>
  </si>
  <si>
    <t xml:space="preserve">Vintage-style schedule: existing base runs off at the calibrated historical composite rate (~9.4%, ~10.6-yr life); each year's new capex depreciates on its own ~10.6-yr SL schedule (half-year convention).</t>
  </si>
  <si>
    <t xml:space="preserve">H+E</t>
  </si>
  <si>
    <t xml:space="preserve">Calibrated from historical financials; standard big-box composite-life range</t>
  </si>
  <si>
    <t xml:space="preserve">Inventory days (DIO)</t>
  </si>
  <si>
    <t xml:space="preserve">Working Capital Schedule</t>
  </si>
  <si>
    <t xml:space="preserve">Normalizes toward the FY23 low (~56 days) by FY28E — Next Chapter's faster assortment cycling ('75% of Home assortment changing') argues for tighter turns, consistent with mgmt's inventory-discipline stance.</t>
  </si>
  <si>
    <t xml:space="preserve">Historical KPI dataset; earnings-call synthesis</t>
  </si>
  <si>
    <t xml:space="preserve">Accounts payable days (DPO)</t>
  </si>
  <si>
    <t xml:space="preserve">Held roughly flat at the FY25 level (~61 days) — no evidence of a structural change to vendor payment terms.</t>
  </si>
  <si>
    <t xml:space="preserve">H</t>
  </si>
  <si>
    <t xml:space="preserve">Historical KPI dataset</t>
  </si>
  <si>
    <t xml:space="preserve">Debt — FY2026E+ maturity refinancing rate</t>
  </si>
  <si>
    <t xml:space="preserve">Debt &amp; Interest Schedule</t>
  </si>
  <si>
    <t xml:space="preserve">Each year's maturing principal refinanced at 10-Y Treasury + ~50bp IG spread, keeping gross debt roughly flat — consistent with mgmt's stated 'balanced maturity spectrum' policy and middle-A credit-rating constraint.</t>
  </si>
  <si>
    <t xml:space="preserve">H+M+E</t>
  </si>
  <si>
    <t xml:space="preserve">10-K maturity ladder; FRED 10-Y Treasury</t>
  </si>
  <si>
    <t xml:space="preserve">Buybacks — payout ratio</t>
  </si>
  <si>
    <t xml:space="preserve">Capital Allocation</t>
  </si>
  <si>
    <t xml:space="preserve">Formula-driven residual (FCF after capex/dividends/debt service × scenario payout ratio), NOT a fixed $/yr commitment — mirrors mgmt's own framing of buybacks as the explicit discretionary/residual use of cash.</t>
  </si>
  <si>
    <t xml:space="preserve">Earnings-call synthesis; debt/capital-allocation research doc</t>
  </si>
  <si>
    <t xml:space="preserve">Dividend growth</t>
  </si>
  <si>
    <t xml:space="preserve">DPS set at a ~1.8%/yr cadence (the pattern since 2023, vs. 20-32% pandemic-era jumps) — directionally consistent with mgmt's stated intent to move 'toward a 40% payout ratio over time.'</t>
  </si>
  <si>
    <t xml:space="preserve">Debt/capital-allocation research doc</t>
  </si>
  <si>
    <t xml:space="preserve">Tax rate</t>
  </si>
  <si>
    <t xml:space="preserve">Assumptions / Income Statement</t>
  </si>
  <si>
    <t xml:space="preserve">22.5% flat forecast — near the 5-yr historical average EXCLUDING the FY22 discrete-item outlier, cross-checked against 21% federal statutory + ~2-3pt state/local. No mgmt 'normalized' rate target exists (confirmed gap).</t>
  </si>
  <si>
    <t xml:space="preserve">H+A</t>
  </si>
  <si>
    <t xml:space="preserve">Historical KPI dataset; confirmed absence of guidance</t>
  </si>
  <si>
    <t xml:space="preserve">WACC — risk-free rate</t>
  </si>
  <si>
    <t xml:space="preserve">DCF</t>
  </si>
  <si>
    <t xml:space="preserve">4.63%, 10-Year US Treasury, sourced directly with no adjustment.</t>
  </si>
  <si>
    <t xml:space="preserve">E</t>
  </si>
  <si>
    <t xml:space="preserve">FRED DGS10, Aug 13, 2026</t>
  </si>
  <si>
    <t xml:space="preserve">WACC — equity risk premium</t>
  </si>
  <si>
    <t xml:space="preserve">4.5%, rounded up modestly from the 4.23% Damodaran Jan-2026 implied ERP given the current risk-free rate is ~45bp above that estimate's paired T-bond rate.</t>
  </si>
  <si>
    <t xml:space="preserve">Damodaran implied ERP, Jan-2026 vintage</t>
  </si>
  <si>
    <t xml:space="preserve">WACC — beta</t>
  </si>
  <si>
    <t xml:space="preserve">DCF / Trading Comps</t>
  </si>
  <si>
    <t xml:space="preserve">Bottom-up: unlever the CORE peer set (TJX/KSS/ROST) at each peer's own D/E and a 22.5% tax rate, take the median, relever at TGT's own market D/E, blend 50/50 with TGT's raw reported beta (0.97) — avoids relying on one noisy estimate.</t>
  </si>
  <si>
    <t xml:space="preserve">Trading Comps tab; peer betas per stockanalysis.com</t>
  </si>
  <si>
    <t xml:space="preserve">Terminal growth rate</t>
  </si>
  <si>
    <t xml:space="preserve">2.5%, midpoint of the standard long-run nominal-GDP/retail-sector convention — explicitly NOT a Target-specific target, since no management long-range financial algorithm exists (confirmed gap).</t>
  </si>
  <si>
    <t xml:space="preserve">E+A</t>
  </si>
  <si>
    <t xml:space="preserve">Standard terminal-growth convention; confirmed absence of a Next Chapter numerical framework</t>
  </si>
  <si>
    <t xml:space="preserve">Q2 FY2026 one-time tariff-duty refund treatment</t>
  </si>
  <si>
    <t xml:space="preserve">Income Statement / DCF</t>
  </si>
  <si>
    <t xml:space="preserve">$994mm pretax ($1.65/share, ~$752mm net) IEEPA tariff-duty refund booked in Q2 FY26, explicitly recorded as a reduction of cost of sales per mgmt. Deliberately EXCLUDED from the FY2026E-FY2032E forecast run-rate (Gross Margin Build's ongoing tariff bps assumption, item #10, is UNCHANGED by this event) — a one-time cash refund is not a repeatable operating improvement and including it would overstate normalized EBIT/FCF and inflate the DCF. Reflected only in the actual/TTM figures on the Trading Comps and Historical tabs, clearly flagged there.</t>
  </si>
  <si>
    <t xml:space="preserve">Target Q2 FY2026 earnings release and call, Aug 19, 2026</t>
  </si>
  <si>
    <t xml:space="preserve">Basis codes: H = Historical evidence (Target's own reported financials/KPIs). M = Management commentary (earnings calls, press releases). E = External/industry evidence (third-party data, standard convention). A = Analyst estimate — explicitly flagged wherever used, with methodology stated inline; never fabricated as if disclosed.</t>
  </si>
  <si>
    <t xml:space="preserve">EXPLICIT LIST — ASSUMPTIONS WITH NO COMPANY DISCLOSURE (flagged, methodology stated above)</t>
  </si>
  <si>
    <t xml:space="preserve">New-store revenue ramp (#5); SG&amp;A functional-component allocation %s (#12-17, though each component's forward GROWTH driver is evidence-based even where the starting split is estimated); capex allocation by category (#19); composite useful life for D&amp;A (#20, calibrated from historicals, not fabricated); debt refinancing spread (#23, benchmarked to Treasury + standard IG spread); tax rate normalization (#26); terminal growth rate (#30, standard convention, no company target exists).</t>
  </si>
  <si>
    <t xml:space="preserve">EXPLICIT LIST — CONFIRMED GAPS IN COMPANY DISCLOSURE (cannot be filled, not fabricated)</t>
  </si>
  <si>
    <t xml:space="preserve">Same-day delivery/Drive Up % of total sales (never disclosed as a %); store-only ex-digital comp sales for FY2023 and FY2025; FY2024/FY2025 merchandise-vs-other revenue split at the precise dollar level; individual bond CUSIP-level detail (disclosed by maturity band only); the new $4.0bn revolver's SOFR spread and leverage-ratio covenant threshold; commercial paper program ceiling; a management-disclosed 'normalized' effective tax rate; any Next Chapter 3-year-or-longer numerical financial framework (comp sales range, margin target, EPS CAGR).</t>
  </si>
  <si>
    <t xml:space="preserve">Historical Financials &amp; KPIs (FY2021A–FY2025A)</t>
  </si>
  <si>
    <t xml:space="preserve">US$ in millions unless noted  |  Consolidated 5-year reference — every line links to its build/schedule tab (Income Statement, Balance Sheet, Revenue Build, Capital Allocation); source: SEC EDGAR 10-K/10-Q XBRL + Target IR, compiled Aug 17, 2026</t>
  </si>
  <si>
    <t xml:space="preserve">FY2021A</t>
  </si>
  <si>
    <t xml:space="preserve">FY2022A</t>
  </si>
  <si>
    <t xml:space="preserve">FY2023A</t>
  </si>
  <si>
    <t xml:space="preserve">FY2024A</t>
  </si>
  <si>
    <t xml:space="preserve">FY2025A</t>
  </si>
  <si>
    <t xml:space="preserve">FYE Jan-29-22</t>
  </si>
  <si>
    <t xml:space="preserve">FYE Jan-28-23</t>
  </si>
  <si>
    <t xml:space="preserve">FYE Feb-3-24 (53wk)</t>
  </si>
  <si>
    <t xml:space="preserve">FYE Feb-1-25</t>
  </si>
  <si>
    <t xml:space="preserve">FYE Jan-31-26</t>
  </si>
  <si>
    <t xml:space="preserve">INCOME STATEMENT</t>
  </si>
  <si>
    <t xml:space="preserve">Total revenue</t>
  </si>
  <si>
    <t xml:space="preserve">Revenue growth %, YoY</t>
  </si>
  <si>
    <t xml:space="preserve">n/a</t>
  </si>
  <si>
    <t xml:space="preserve">Comparable sales growth %</t>
  </si>
  <si>
    <t xml:space="preserve">Cost of sales</t>
  </si>
  <si>
    <t xml:space="preserve">Gross profit</t>
  </si>
  <si>
    <t xml:space="preserve">Gross margin %</t>
  </si>
  <si>
    <t xml:space="preserve">SG&amp;A expense</t>
  </si>
  <si>
    <t xml:space="preserve">SG&amp;A % of revenue</t>
  </si>
  <si>
    <t xml:space="preserve">Depreciation &amp; amortization (P&amp;L line)</t>
  </si>
  <si>
    <t xml:space="preserve">Operating income</t>
  </si>
  <si>
    <t xml:space="preserve">Operating margin %</t>
  </si>
  <si>
    <t xml:space="preserve">Net interest expense</t>
  </si>
  <si>
    <t xml:space="preserve">Net other income</t>
  </si>
  <si>
    <t xml:space="preserve">Earnings before income taxes</t>
  </si>
  <si>
    <t xml:space="preserve">Income tax provision</t>
  </si>
  <si>
    <t xml:space="preserve">Effective tax rate %</t>
  </si>
  <si>
    <t xml:space="preserve">Net earnings</t>
  </si>
  <si>
    <t xml:space="preserve">Net margin %</t>
  </si>
  <si>
    <t xml:space="preserve">Diluted EPS ($)</t>
  </si>
  <si>
    <t xml:space="preserve">OPERATING KPIs</t>
  </si>
  <si>
    <t xml:space="preserve">Total stores, end of year</t>
  </si>
  <si>
    <t xml:space="preserve">Total retail square footage (thousands)</t>
  </si>
  <si>
    <t xml:space="preserve">Organic traffic growth % (ex-remodel)</t>
  </si>
  <si>
    <t xml:space="preserve">Average ticket / basket growth %</t>
  </si>
  <si>
    <t xml:space="preserve">Comparable sales growth % (traffic × ticket)</t>
  </si>
  <si>
    <t xml:space="preserve">Digital penetration % of total sales</t>
  </si>
  <si>
    <t xml:space="preserve">BALANCE SHEET</t>
  </si>
  <si>
    <t xml:space="preserve">Cash &amp; equivalents</t>
  </si>
  <si>
    <t xml:space="preserve">Inventory</t>
  </si>
  <si>
    <t xml:space="preserve">Total current assets</t>
  </si>
  <si>
    <t xml:space="preserve">Property &amp; equipment, net</t>
  </si>
  <si>
    <t xml:space="preserve">Total assets</t>
  </si>
  <si>
    <t xml:space="preserve">Accounts payable</t>
  </si>
  <si>
    <t xml:space="preserve">Total current liabilities</t>
  </si>
  <si>
    <t xml:space="preserve">Long-term debt, noncurrent</t>
  </si>
  <si>
    <t xml:space="preserve">Total liabilities</t>
  </si>
  <si>
    <t xml:space="preserve">Total shareholders' equity</t>
  </si>
  <si>
    <t xml:space="preserve">CASH FLOW &amp; CAPITAL ALLOCATION</t>
  </si>
  <si>
    <t xml:space="preserve">Cash from operations</t>
  </si>
  <si>
    <t xml:space="preserve">FY2021A CFO ($8,625mm) is hardcoded directly from the 10-K cash flow statement — the Capital Allocation tab's own CA_CFO formula requires a prior-year working-capital balance to compute the ΔNWC term, which does not exist for the first historical year shown (FY2020 is out of scope), so it is deliberately left blank there rather than computed. FY22A-25A link live to Capital Allocation.</t>
  </si>
  <si>
    <t xml:space="preserve">Capital expenditures</t>
  </si>
  <si>
    <t xml:space="preserve">Dividends paid</t>
  </si>
  <si>
    <t xml:space="preserve">Share repurchases (per full-year earnings release)</t>
  </si>
  <si>
    <t xml:space="preserve">Dividends and buybacks are hardcoded here from the SEC-sourced historical dataset (10-K cash flow statements / earnings press releases) — the Capital Allocation tab's waterfall (dividend-per-share × share count, buyback payout ratio) is a FORECAST mechanism only; historical actuals are the real disclosed cash outflows, not a re-derivation. FY21A/FY22A use the full-year press-release repurchase figures ($7,356mm/$2,826mm); small (~$150-180mm) differences exist vs. the as-filed cash-flow-statement line due to trade-date vs. settlement-date timing — see the historical dataset doc for detail.</t>
  </si>
  <si>
    <t xml:space="preserve">Free cash flow (CFO + Capex)</t>
  </si>
  <si>
    <t xml:space="preserve">SUPPLEMENTAL RATIOS</t>
  </si>
  <si>
    <t xml:space="preserve">Dividend payout ratio (Div ÷ Net earnings)</t>
  </si>
  <si>
    <t xml:space="preserve">Net debt / EBITDA (x)</t>
  </si>
  <si>
    <t xml:space="preserve">Historical DIO/DPO by component are on the Working Capital Schedule tab (they require a prior-year balance and so are only meaningfully shown from FY2022A onward). This tab is a consolidated REFERENCE view; it does not feed the forecast — each forecast tab already sources its own historical anchor directly, so nothing here creates a second, divergent source of truth.</t>
  </si>
  <si>
    <t xml:space="preserve">Operating Assumptions &amp; Scenario Switch</t>
  </si>
  <si>
    <t xml:space="preserve">One switch (B8) re-drives the entire model — Revenue Build, Gross Margin Build, SG&amp;A Build, PP&amp;E/Capex, DCF, and implied valuation all recalc from that one cell.</t>
  </si>
  <si>
    <t xml:space="preserve">SCENARIO SELECTOR</t>
  </si>
  <si>
    <t xml:space="preserve">Active scenario  (1 = Bull, 2 = Base, 3 = Bear)</t>
  </si>
  <si>
    <t xml:space="preserve">Scenario name (display)</t>
  </si>
  <si>
    <t xml:space="preserve">Change B8 and every downstream schedule (Revenue Build, Gross Margin Build, SG&amp;A Build, PP&amp;E/Capex Schedule) recalculates on its OWN operating logic for that scenario — not just a top-level growth/margin slider. See the Scenario Analysis tab for the full narrative rationale behind each case.</t>
  </si>
  <si>
    <t xml:space="preserve">TAX</t>
  </si>
  <si>
    <t xml:space="preserve">Effective tax rate (historical actual / forecast normalized)</t>
  </si>
  <si>
    <t xml:space="preserve">Historical FY21A-FY25A = Target's own disclosed GAAP effective tax rate each year (22.0/18.7/21.9/22.2/22.3%; FY2022's 18.7% reflects one-time discrete tax items). Forecast 22.5% is an analyst normalization near the 5-yr historical average EXCLUDING the FY2022 discrete-item outlier — no management-disclosed 'normalized' tax rate target exists (confirmed gap — see Research &amp; Assumption Support tab, item #26) — cross-checked against the 21% federal statutory rate plus a standard ~2-3pt state/local retail add-on.</t>
  </si>
  <si>
    <t xml:space="preserve">MACRO / VALUATION INPUTS</t>
  </si>
  <si>
    <t xml:space="preserve">Risk-free rate (10-Year US Treasury)</t>
  </si>
  <si>
    <t xml:space="preserve">FRED DGS10, Aug 13, 2026 (most recent close at time of research).</t>
  </si>
  <si>
    <t xml:space="preserve">Equity risk premium (Damodaran implied ERP)</t>
  </si>
  <si>
    <t xml:space="preserve">Damodaran implied ERP, Jan-2026 vintage = 4.23%; rounded up modestly to 4.5% given the current risk-free rate is ~45bp above that estimate's paired T-bond rate. Sourced, not arbitrary.</t>
  </si>
  <si>
    <t xml:space="preserve">TGT raw levered beta (5Y monthly, reported)</t>
  </si>
  <si>
    <t xml:space="preserve">TGT total debt, $mm (for D/E — ties to Q2 FY26 10-Q, Aug 1, 2026)</t>
  </si>
  <si>
    <t xml:space="preserve">TGT market value of equity, $mm</t>
  </si>
  <si>
    <t xml:space="preserve">Total debt: $15,357mm funded debt (current $1,136mm + LT $14,221mm, Q2 FY26 10-Q, period ended Aug 1, 2026). Market value of equity: $72,600mm (= $159.00 close x 456.6mm diluted shares).</t>
  </si>
  <si>
    <t xml:space="preserve">Bottom-up: peer median unlevered beta (core comp set)</t>
  </si>
  <si>
    <t xml:space="preserve">Bottom-up: relevered at TGT's own market D/E</t>
  </si>
  <si>
    <t xml:space="preserve">Beta used in WACC (avg. of raw &amp; bottom-up relevered)</t>
  </si>
  <si>
    <t xml:space="preserve">Bottom-up beta unlevers the CORE comp set (WMT/TJX/KSS/ROST — see Trading Comps tab for peer-inclusion rationale), takes the median, relevers at TGT's own D/E, then blends 50/50 with TGT's raw reported beta.</t>
  </si>
  <si>
    <t xml:space="preserve">ANALYST ESTIMATE — no Target management long-range financial algorithm exists for the 'Next Chapter' plan (confirmed gap). 2.5% is the midpoint of the standard long-run nominal-GDP/retail-sector terminal-growth convention, not a company target.</t>
  </si>
  <si>
    <t xml:space="preserve">Exit EV/EBITDA multiple (terminal-value cross-check)</t>
  </si>
  <si>
    <t xml:space="preserve">Set below TGT's current 10.1x trailing EV/EBITDA and well below WMT/COST/TJX/ROST (20-30x) — reflects TGT's lower structural growth/margin profile; in line with TGT's own multi-year historical range.</t>
  </si>
  <si>
    <t xml:space="preserve">US$ in millions unless noted  |  Bottoms-up: store roll-forward + new-store productivity ramp + traffic x ticket comp build + remodel-driven traffic contribution  |  Scenario: see Assumptions!B6</t>
  </si>
  <si>
    <t xml:space="preserve">FY2026E</t>
  </si>
  <si>
    <t xml:space="preserve">FY2027E</t>
  </si>
  <si>
    <t xml:space="preserve">FY2028E</t>
  </si>
  <si>
    <t xml:space="preserve">FY2029E</t>
  </si>
  <si>
    <t xml:space="preserve">FY2030E</t>
  </si>
  <si>
    <t xml:space="preserve">FY2031E</t>
  </si>
  <si>
    <t xml:space="preserve">FY2032E</t>
  </si>
  <si>
    <t xml:space="preserve">FYE ~Jan-30-27</t>
  </si>
  <si>
    <t xml:space="preserve">FYE ~Jan-29-28</t>
  </si>
  <si>
    <t xml:space="preserve">FYE ~Jan-27-29</t>
  </si>
  <si>
    <t xml:space="preserve">FYE ~Jan-26-30</t>
  </si>
  <si>
    <t xml:space="preserve">FYE ~Jan-25-31</t>
  </si>
  <si>
    <t xml:space="preserve">FYE ~Jan-31-32</t>
  </si>
  <si>
    <t xml:space="preserve">FYE ~Jan-29-33</t>
  </si>
  <si>
    <t xml:space="preserve">STORE BASE ROLL-FORWARD</t>
  </si>
  <si>
    <t xml:space="preserve">Beginning store count</t>
  </si>
  <si>
    <t xml:space="preserve">New stores opened — Bull</t>
  </si>
  <si>
    <t xml:space="preserve">New stores opened — Base</t>
  </si>
  <si>
    <t xml:space="preserve">New stores opened — Bear</t>
  </si>
  <si>
    <t xml:space="preserve">New stores opened — ACTIVE</t>
  </si>
  <si>
    <t xml:space="preserve">FY26E = management's own '30+ new stores' guidance (Base). FY27E-32E glide toward Target's long-run '300 new stores' target (originally framed as 'next decade' from 2024, restated as 'by 2035' under Next Chapter — a drifting, unreconciled horizon flagged in the Research &amp; Assumption Support tab). Bull/Bear vary the pace with capex/FCF strength, not just this line in isolation — see PP&amp;E/Capex Schedule.</t>
  </si>
  <si>
    <t xml:space="preserve">Store closures (net, immaterial)</t>
  </si>
  <si>
    <t xml:space="preserve">Target does not separately disclose gross store closures — the KPI history above is Target's own NET new-store figure. Closures are treated as immaterial/embedded in that net figure, not a hidden assumption.</t>
  </si>
  <si>
    <t xml:space="preserve">Ending store count</t>
  </si>
  <si>
    <t xml:space="preserve">Average store count (for productivity)</t>
  </si>
  <si>
    <t xml:space="preserve">Memo: total retail square footage (thousands)</t>
  </si>
  <si>
    <t xml:space="preserve">NEW-STORE PRODUCTIVITY RAMP  (new stores do NOT generate mature revenue immediately)</t>
  </si>
  <si>
    <t xml:space="preserve">Mature avg. annual revenue per store ($mm)</t>
  </si>
  <si>
    <t xml:space="preserve">→ trailing merchandise revenue per average store; forecast years grow this figure at the comp sales growth rate (below), so a ramping/maturing store's implied revenue keeps pace with same-store trends.</t>
  </si>
  <si>
    <t xml:space="preserve">Year-1 (opening-year) productivity ramp, % of mature</t>
  </si>
  <si>
    <t xml:space="preserve">Year-2 productivity ramp, % of mature</t>
  </si>
  <si>
    <t xml:space="preserve">ANALYST ESTIMATE — Target does not disclose a new-store productivity ramp. 70%/90%/100%(Yr3+) reflects standard big-box-retail industry practice for a new-format store maturing over ~2-3 years; methodology fully disclosed, not a company figure.</t>
  </si>
  <si>
    <t xml:space="preserve">New stores opened prior year (1-yr-old vintage)</t>
  </si>
  <si>
    <t xml:space="preserve">Non-comp (ramping) store revenue this year ($mm)</t>
  </si>
  <si>
    <t xml:space="preserve">This-year openings assumed to open evenly through the year (half-year convention) at the Year-1 ramp; last year's openings step up to the Year-2 ramp. From their 3rd year on, stores are fully mature and fold into the comp base automatically (their revenue grows at the comp sales rate like any other store).</t>
  </si>
  <si>
    <t xml:space="preserve">COMPARABLE SALES BUILD  (Traffic x Ticket, per Target's own disclosed decomposition)</t>
  </si>
  <si>
    <t xml:space="preserve">Organic traffic growth — Bull</t>
  </si>
  <si>
    <t xml:space="preserve">Organic traffic growth — Base</t>
  </si>
  <si>
    <t xml:space="preserve">Organic traffic growth — Bear</t>
  </si>
  <si>
    <t xml:space="preserve">Organic traffic growth — ACTIVE (ex-remodel)</t>
  </si>
  <si>
    <t xml:space="preserve">Base set at +2.5% — H1 FY26 actuals (Q1 traffic +4.4%, Q2 traffic +3.6%; revenue-weighted H1 blended ~+4.0%) support full-year FY2026 guidance of '~5% net sales growth.' +2.5% is deliberately well BELOW the H1 blended pace, assuming H2 moderates further (harder compares, normal seasonal deceleration) — consistent with management's own caution that Q1's pace should not be fully extrapolated, and with the confirmed Q1-to-Q2 deceleration (4.4%-&gt;3.6%) while traffic stayed solidly positive and broad-based (Fun 101, food reset, Beauty Studio prep all cited as drivers). This calibration reconciles to the ~5% full-year revenue-growth guide once combined with the other-revenue and new-store lines below — see Revenue Bridge, row 73.</t>
  </si>
  <si>
    <t xml:space="preserve">Remodels completed this year — Bull</t>
  </si>
  <si>
    <t xml:space="preserve">Remodels completed this year — Base</t>
  </si>
  <si>
    <t xml:space="preserve">Remodels completed this year — Bear</t>
  </si>
  <si>
    <t xml:space="preserve">Remodels completed this year — ACTIVE</t>
  </si>
  <si>
    <t xml:space="preserve">FY26E Base = 130+ per Next Chapter (Q1 FY26 call: 100+ underway, 130+ full remodels planned). No remodel pace disclosed beyond FY2026 — FY27E-28E held at 130 (multi-year plan assumption), tapering to 100/yr as the initial fleet-wide wave completes (analyst estimate, methodology disclosed).</t>
  </si>
  <si>
    <t xml:space="preserve">Remodel comp-sales lift, Year 1 post-remodel</t>
  </si>
  <si>
    <t xml:space="preserve">Remodel comp-sales lift, Year 2 (incremental)</t>
  </si>
  <si>
    <t xml:space="preserve">Directly from management disclosure (Q1 FY25 call): '2% to 4% [comp lift] in the year following a remodel and a nearly 3% incremental lift in year two' — 3.0% used for both (midpoint/as-stated), a real management-quantified data point, not an analyst guess.</t>
  </si>
  <si>
    <t xml:space="preserve">Remodel-driven traffic contribution (bps)</t>
  </si>
  <si>
    <t xml:space="preserve">Total traffic growth (organic + remodel)</t>
  </si>
  <si>
    <t xml:space="preserve">Average ticket / basket growth — Bull</t>
  </si>
  <si>
    <t xml:space="preserve">Average ticket / basket growth — Base</t>
  </si>
  <si>
    <t xml:space="preserve">Average ticket / basket growth — Bear</t>
  </si>
  <si>
    <t xml:space="preserve">Average ticket / basket growth — ACTIVE</t>
  </si>
  <si>
    <t xml:space="preserve">Ticket has been flat-to-negative in 4 of the last 5 fiscal years (structural drag, not a driver). Base set at +0.6% — H1 actual ticket ran +1.1% (Q1) then flat (Q2); well below H1's pace since Q2's flat print shows the moderating-markdown tailwind has largely played out, not accelerated further.</t>
  </si>
  <si>
    <t xml:space="preserve">Comparable sales growth  =  (1+Traffic)×(1+Ticket)−1</t>
  </si>
  <si>
    <t xml:space="preserve">OTHER REVENUE  (Roundel retail media + Target Plus marketplace + membership + credit-card profit share)</t>
  </si>
  <si>
    <t xml:space="preserve">Other revenue growth — Bull</t>
  </si>
  <si>
    <t xml:space="preserve">Other revenue growth — Base</t>
  </si>
  <si>
    <t xml:space="preserve">Other revenue growth — Bear</t>
  </si>
  <si>
    <t xml:space="preserve">Other revenue growth — ACTIVE</t>
  </si>
  <si>
    <t xml:space="preserve">Target Plus GMV +35-60% and Roundel 'mid-teens'/'double-digit' growth in every quarter reviewed (FY24 Q1 - FY26 Q1); FY2025 full year: 'membership revenue doubled YoY, Roundel grew double-digits, marketplace grew &gt;30%' — the single most consistently positive, most-quantified growth story in the research. Blended/decelerating-as-it-scales growth rate applied to the combined 'other revenue' base.</t>
  </si>
  <si>
    <t xml:space="preserve">Other revenue ($mm)</t>
  </si>
  <si>
    <t xml:space="preserve">FY2021A-FY2023A other revenue is Target's own disclosed figure. FY2024A-FY2025A is an ANALYST ESTIMATE (+12%/+15% applied to the FY23A actual) because Target's 10-K did not separately break out the merchandise/other split in the extracts reviewed for those two years — confirmed data gap, not a fabricated figure. This estimate is cross-validated below: applying it as a residual reproduces Target's own disclosed merchandise-revenue figures exactly for FY21A-FY23A.</t>
  </si>
  <si>
    <t xml:space="preserve">REVENUE BRIDGE  (explicit: shows exactly where growth comes from)</t>
  </si>
  <si>
    <t xml:space="preserve">Beginning merchandise revenue ($mm)</t>
  </si>
  <si>
    <t xml:space="preserve">Non-comp (ramping) revenue, prior year</t>
  </si>
  <si>
    <t xml:space="preserve">Comp (mature) store base = Beginning − prior non-comp</t>
  </si>
  <si>
    <t xml:space="preserve">+ Comp sales growth ($)</t>
  </si>
  <si>
    <t xml:space="preserve">+ New/non-comp store net contribution</t>
  </si>
  <si>
    <t xml:space="preserve">− Store closure impact</t>
  </si>
  <si>
    <t xml:space="preserve">+/− Other / rounding</t>
  </si>
  <si>
    <t xml:space="preserve">→ Ending merchandise revenue ($mm)</t>
  </si>
  <si>
    <t xml:space="preserve">FY24A-FY25A merchandise revenue ($104,764mm / $102,707mm) is a RESIDUAL (Total revenue − estimated other revenue) — see other-revenue flag above. FY21A-23A merchandise revenue is Target's own exact disclosed figure.</t>
  </si>
  <si>
    <t xml:space="preserve">Total revenue = Merchandise + Other revenue</t>
  </si>
  <si>
    <t xml:space="preserve">% growth YoY</t>
  </si>
  <si>
    <t xml:space="preserve">Memo: digital penetration, % of total sales</t>
  </si>
  <si>
    <t xml:space="preserve">Memo only — NOT summed separately into revenue (digital comp sales are already embedded within total comparable sales growth above, per Target's own disclosure; adding a separate digital line would double-count). Forecast: +0.6pt/yr, consistent with the FY21A-FY25A trend (18.9%-&gt;20.6%) and Q1 FY26's continued same-day-delivery growth (+27%+ YoY).</t>
  </si>
  <si>
    <t xml:space="preserve">Memo: sales per square foot ($)</t>
  </si>
  <si>
    <t xml:space="preserve">US$ in millions unless noted  |  Named bridge (mix / freight-supply chain / shrink / markdown-promo / tariff), NOT a blanket %-of-revenue shortcut  |  Scenario: see Assumptions!B6</t>
  </si>
  <si>
    <t xml:space="preserve">HISTORICAL GROSS PROFIT (as reported, originally-filed basis)</t>
  </si>
  <si>
    <t xml:space="preserve">Total revenue ($mm)</t>
  </si>
  <si>
    <t xml:space="preserve">Cost of sales ($mm)</t>
  </si>
  <si>
    <t xml:space="preserve">Originally-filed COGS each year (pre-restatement); the ~$77-92mm reclass between COGS/SG&amp;A in later comparative filings is immaterial to gross margin % and is not carried here — see Historical Financials/KPIs tab for the restated view.</t>
  </si>
  <si>
    <t xml:space="preserve">Gross profit ($mm)</t>
  </si>
  <si>
    <t xml:space="preserve">GROSS MARGIN BRIDGE — FORECAST (bps YoY change, each component independently sourced)</t>
  </si>
  <si>
    <t xml:space="preserve">Mix (Roundel/Target Plus/membership, gross-margin-accretive) — Bull</t>
  </si>
  <si>
    <t xml:space="preserve">Mix (Roundel/Target Plus/membership, gross-margin-accretive) — Base</t>
  </si>
  <si>
    <t xml:space="preserve">Mix (Roundel/Target Plus/membership, gross-margin-accretive) — Bear</t>
  </si>
  <si>
    <t xml:space="preserve">Mix (Roundel/Target Plus/membership, gross-margin-accretive) — ACTIVE</t>
  </si>
  <si>
    <t xml:space="preserve">Structural, capex/strategy-tied — NOT macro-cyclical, so held scenario-invariant at +5bps/yr per mgmt's explicit 'accretive to operating margin rate' commentary (Jim Lee, Q4FY24). Sized modestly relative to the Other Revenue growth line, which IS scenario-varied on the Revenue Build tab.</t>
  </si>
  <si>
    <t xml:space="preserve">Freight / supply chain leverage (new DC capacity maturing) — Bull</t>
  </si>
  <si>
    <t xml:space="preserve">Freight / supply chain leverage (new DC capacity maturing) — Base</t>
  </si>
  <si>
    <t xml:space="preserve">Freight / supply chain leverage (new DC capacity maturing) — Bear</t>
  </si>
  <si>
    <t xml:space="preserve">Freight / supply chain leverage (new DC capacity maturing) — ACTIVE</t>
  </si>
  <si>
    <t xml:space="preserve">Structural, capex-tied (Houston/Colorado DC investments) — NOT macro-cyclical, held scenario-invariant at +8bps/yr FY26E-28E then +5bps/yr, explicitly tied to the PP&amp;E/Capex Schedule's supply-chain category.</t>
  </si>
  <si>
    <t xml:space="preserve">Shrink — Bull</t>
  </si>
  <si>
    <t xml:space="preserve">Shrink — Base</t>
  </si>
  <si>
    <t xml:space="preserve">Shrink — Bear</t>
  </si>
  <si>
    <t xml:space="preserve">Shrink — ACTIVE</t>
  </si>
  <si>
    <t xml:space="preserve">Base: tailwind essentially exhausted per mgmt's own 'down to pre-pandemic levels' framing (Q1FY25) — +10bps FY26E only, then 0. Bull: continued modest AI/loss-prevention-tech payoff. Bear: a partial reversal risk (labor-constrained stores) — a genuine downside not visible in the Base trend, consistent with the spec's requirement that Bear vary real operating logic, not just a top-level slider.</t>
  </si>
  <si>
    <t xml:space="preserve">Markdown / promotional intensity — Bull</t>
  </si>
  <si>
    <t xml:space="preserve">Markdown / promotional intensity — Base</t>
  </si>
  <si>
    <t xml:space="preserve">Markdown / promotional intensity — Bear</t>
  </si>
  <si>
    <t xml:space="preserve">Markdown / promotional intensity — ACTIVE</t>
  </si>
  <si>
    <t xml:space="preserve">Base: continuation of the Q1FY26 inflection (CFO Lee: 'we'd rather be chasing inventory... than canceling it'), fading to 0bps by FY28E as markdown rates normalize rather than improving indefinitely. Bull: stronger consumer, less discounting needed. Bear: soft demand forces promotional intensity to persist longer before normalizing.</t>
  </si>
  <si>
    <t xml:space="preserve">Tariff / import cost pressure — Bull</t>
  </si>
  <si>
    <t xml:space="preserve">Tariff / import cost pressure — Base</t>
  </si>
  <si>
    <t xml:space="preserve">Tariff / import cost pressure — Bear</t>
  </si>
  <si>
    <t xml:space="preserve">Tariff / import cost pressure — ACTIVE</t>
  </si>
  <si>
    <t xml:space="preserve">Tariff policy is exogenous and genuinely uncertain — explicitly flagged as the single most policy-dependent, least-certain line in the bridge. Base: -8bps/yr FY26E-27E fading to 0 by FY28E (persistent-but-moderating cost). Bull: policy resolves/moderates faster. Bear: escalation scenario, consistent with the spec's stress-testing requirement to show a named tariff-escalation dimension.</t>
  </si>
  <si>
    <t xml:space="preserve">Total bps change, YoY</t>
  </si>
  <si>
    <t xml:space="preserve">RESULTING GROSS MARGIN &amp; GROSS PROFIT (output, not a hardcoded forecast input)</t>
  </si>
  <si>
    <t xml:space="preserve">Gross margin %, ending (= prior year GM% + total bps change)</t>
  </si>
  <si>
    <t xml:space="preserve">Forecast COGS is a computed OUTPUT (Revenue − Gross profit), not a direct hardcode — per the model's formula-discipline rule.</t>
  </si>
  <si>
    <t xml:space="preserve">US$ in millions unless noted  |  6 named components (store labor / corporate-G&amp;A / marketing / fulfillment-distribution / occupancy / other-tech), each with its OWN operating driver  |  Scenario: see Assumptions!B6</t>
  </si>
  <si>
    <t xml:space="preserve">SG&amp;A OVERVIEW</t>
  </si>
  <si>
    <t xml:space="preserve">Total SG&amp;A expense ($mm)</t>
  </si>
  <si>
    <t xml:space="preserve">Originally-filed basis (pre-restatement), consistent with the Gross Margin Build tab's COGS treatment. Forecast total below is a computed OUTPUT = sum of the 6 named components, not a direct hardcode.</t>
  </si>
  <si>
    <t xml:space="preserve">COMPONENT BASE ALLOCATION  (of FY2025A SG&amp;A, $21,535mm — starting split only; each component's forecast GROWTH driver is evidence-based even where this split is estimated)</t>
  </si>
  <si>
    <t xml:space="preserve">Store labor &amp; operations, % of FY25A base</t>
  </si>
  <si>
    <t xml:space="preserve">Corporate / G&amp;A, % of FY25A base</t>
  </si>
  <si>
    <t xml:space="preserve">Marketing, % of FY25A base</t>
  </si>
  <si>
    <t xml:space="preserve">Fulfillment &amp; distribution, % of FY25A base</t>
  </si>
  <si>
    <t xml:space="preserve">Occupancy, % of FY25A base</t>
  </si>
  <si>
    <t xml:space="preserve">Other / technology, % of FY25A base (residual, explicit plug-by-construction)</t>
  </si>
  <si>
    <t xml:space="preserve">Check: allocation %'s sum to 100%</t>
  </si>
  <si>
    <t xml:space="preserve">SG&amp;A functional split is not publicly disclosed by Target — all 6 allocation %'s above are ANALYST ESTIMATES (methodology: store labor sized as the largest single component per standard big-box-retail SG&amp;A composition; 'other/technology' is an explicit residual/plug BY CONSTRUCTION to sum to 100%, clearly labeled as such, not a hidden plug). Each component's FORECAST GROWTH DRIVER below is evidence-based even where this starting split is estimated.</t>
  </si>
  <si>
    <t xml:space="preserve">COMPONENT 1 — STORE LABOR &amp; OPERATIONS (~55% of base)  driver = store count growth + wage inflation − AI/productivity offset</t>
  </si>
  <si>
    <t xml:space="preserve">FY25A base ($mm)</t>
  </si>
  <si>
    <t xml:space="preserve">Avg. store count growth, YoY</t>
  </si>
  <si>
    <t xml:space="preserve">Wage inflation — Bull / Base / Bear</t>
  </si>
  <si>
    <t xml:space="preserve">Wage inflation — ACTIVE</t>
  </si>
  <si>
    <t xml:space="preserve">AI / productivity offset — Bull / Base / Bear</t>
  </si>
  <si>
    <t xml:space="preserve">AI / productivity offset — ACTIVE</t>
  </si>
  <si>
    <t xml:space="preserve">ANALYST ESTIMATE — no company disclosure of a specific wage-inflation or AI-offset %. Base 3.0% wage inflation reflects the general retail labor environment; -0.5pt/yr AI offset reflects mgmt's repeated citation of GenAI store tools/myDevice as productivity levers (Q1FY26 call) without a quantified savings figure. Bull/Bear vary the PACE of AI realization and labor-market tightness, not just a top-level slider. Bear wage inflation opens at 3.8% (acute labor-market tightness) and eases toward 2.8% by FY32E, and the Bear AI offset improves from -0.2% to -0.5% over the same window — mirroring how the Gross Margin Bridge's own Bear shrink/markdown/tariff bps fade toward neutral rather than staying permanently elevated; a company under sustained margin stress would still adapt staffing and technology spend over a 7-year window, so holding both flat for the full period overstated the compounding effect of the Bear case without changing its FY26E starting severity.</t>
  </si>
  <si>
    <t xml:space="preserve">Store labor &amp; operations ($mm)</t>
  </si>
  <si>
    <t xml:space="preserve">COMPONENT 2 — CORPORATE / G&amp;A (~15% of base)  driver = revenue growth + general inflation, less the disclosed $180mm/yr HQ savings program</t>
  </si>
  <si>
    <t xml:space="preserve">Total revenue growth, YoY</t>
  </si>
  <si>
    <t xml:space="preserve">General/corporate cost inflation</t>
  </si>
  <si>
    <t xml:space="preserve">HQ 'business transformation' savings ($mm, one-time step-down in FY26E)</t>
  </si>
  <si>
    <t xml:space="preserve">~1,800 roles eliminated (~8% of HQ), '~$180 million of expected annualized savings' (Q3 FY2025 call) — a direct management disclosure, modeled as a one-time step-down in the FY26E base (the savings persist in every subsequent year through the lower base, not re-subtracted annually).</t>
  </si>
  <si>
    <t xml:space="preserve">Corporate / G&amp;A ($mm)</t>
  </si>
  <si>
    <t xml:space="preserve">COMPONENT 3 — MARKETING (~8% of base)  driver = flat % of total revenue (no disclosed structural change either direction)</t>
  </si>
  <si>
    <t xml:space="preserve">Marketing, % of total revenue (held flat)</t>
  </si>
  <si>
    <t xml:space="preserve">Marketing ($mm)</t>
  </si>
  <si>
    <t xml:space="preserve">COMPONENT 4 — FULFILLMENT &amp; DISTRIBUTION (~12% of base)  driver = digital $ sales growth, scaled 0.6x for the disclosed 'stores-as-hubs' efficiency</t>
  </si>
  <si>
    <t xml:space="preserve">Digital $ sales (memo, Revenue x Digital penetration %)</t>
  </si>
  <si>
    <t xml:space="preserve">Digital $ sales growth, YoY</t>
  </si>
  <si>
    <t xml:space="preserve">Stores-as-hubs scaling factor (&lt; 1.0x)</t>
  </si>
  <si>
    <t xml:space="preserve">ANALYST ESTIMATE — Target discloses '&gt;95% of digital fulfillment flows through existing stores' as a qualitative cost advantage vs. dedicated fulfillment-center buildout, but no quantified cost-scaling factor. 0.6x means fulfillment cost grows at 60% of the rate of digital dollar sales, not 1:1 — methodology fully disclosed.</t>
  </si>
  <si>
    <t xml:space="preserve">Fulfillment &amp; distribution ($mm)</t>
  </si>
  <si>
    <t xml:space="preserve">COMPONENT 5 — OCCUPANCY (~7% of base)  driver = store count growth (lease-heavy, roughly fixed cost per store)</t>
  </si>
  <si>
    <t xml:space="preserve">Occupancy ($mm)</t>
  </si>
  <si>
    <t xml:space="preserve">COMPONENT 6 — OTHER / TECHNOLOGY (~3% of base, residual)  driver = total revenue growth</t>
  </si>
  <si>
    <t xml:space="preserve">Other / technology ($mm)</t>
  </si>
  <si>
    <t xml:space="preserve">PP&amp;E / Capex Schedule</t>
  </si>
  <si>
    <t xml:space="preserve">US$ in millions unless noted  |  Capex by category (new stores / remodels / supply chain / technology / maintenance), each with its own driver  |  Vintage-style D&amp;A: existing base runoff + per-vintage 10.6-yr SL schedule  |  Scenario: see Assumptions!B6</t>
  </si>
  <si>
    <t xml:space="preserve">CAPITAL EXPENDITURES BY CATEGORY</t>
  </si>
  <si>
    <t xml:space="preserve">New stores opened (memo)</t>
  </si>
  <si>
    <t xml:space="preserve">Remodels completed (memo)</t>
  </si>
  <si>
    <t xml:space="preserve">Avg. store count (memo)</t>
  </si>
  <si>
    <t xml:space="preserve">FY2026E total capex = $5.0bn per explicit management guidance (+~25% YoY; Q4FY25/'Next Chapter' and reaffirmed Q1FY26 with $1B deployed). The 5-category % split of that $5.0bn (new stores 15% / remodels 20% / supply chain 25% / technology 20% / maintenance 20%) is NOT disclosed by Target at the $ level — an ANALYST ESTIMATE, methodology disclosed below. Each category then has its OWN organic forecast driver for FY27E+ (not a repeated hardcode), so Total Capex from FY27E onward is a genuine model OUTPUT, not a top-down %-of-revenue assumption.</t>
  </si>
  <si>
    <t xml:space="preserve">New stores — FY26E $ (= 15% of $5.0bn guidance)</t>
  </si>
  <si>
    <t xml:space="preserve">New stores — cost per unit ($mm), back-solved FY26E then +2.5%/yr</t>
  </si>
  <si>
    <t xml:space="preserve">New stores capex ($mm)</t>
  </si>
  <si>
    <t xml:space="preserve">Driver: new-store count (Revenue Build) × back-solved cost/store, escalated for construction-cost inflation.</t>
  </si>
  <si>
    <t xml:space="preserve">Remodels — FY26E $ (= 20% of $5.0bn guidance)</t>
  </si>
  <si>
    <t xml:space="preserve">Remodels — cost per unit ($mm), back-solved FY26E then +2.5%/yr</t>
  </si>
  <si>
    <t xml:space="preserve">Remodels capex ($mm)</t>
  </si>
  <si>
    <t xml:space="preserve">Driver: remodel count (Revenue Build) × back-solved cost/remodel, escalated for construction-cost inflation.</t>
  </si>
  <si>
    <t xml:space="preserve">Supply chain / fulfillment — FY26E $ (= 25% of $5.0bn guidance)</t>
  </si>
  <si>
    <t xml:space="preserve">Supply chain / fulfillment — % of revenue, back-solved FY26E then held flat</t>
  </si>
  <si>
    <t xml:space="preserve">Supply chain / fulfillment capex ($mm)</t>
  </si>
  <si>
    <t xml:space="preserve">Driver: held flat as a % of total revenue (both scale with the overall business — no store-count or unit-count driver applies to this category).</t>
  </si>
  <si>
    <t xml:space="preserve">Technology — FY26E $ (= 20% of $5.0bn guidance)</t>
  </si>
  <si>
    <t xml:space="preserve">Technology — % of revenue, back-solved FY26E then held flat</t>
  </si>
  <si>
    <t xml:space="preserve">Technology capex ($mm)</t>
  </si>
  <si>
    <t xml:space="preserve">Maintenance capex (existing store base) — FY26E $ (= 20% of $5.0bn guidance)</t>
  </si>
  <si>
    <t xml:space="preserve">Maintenance capex (existing store base) — cost per unit ($mm), back-solved FY26E then +2.5%/yr</t>
  </si>
  <si>
    <t xml:space="preserve">Maintenance capex (existing store base) capex ($mm)</t>
  </si>
  <si>
    <t xml:space="preserve">Driver: avg. store count (Revenue Build) × back-solved $/store, escalated for general inflation (roughly fixed maintenance spend per store).</t>
  </si>
  <si>
    <t xml:space="preserve">ANALYST ESTIMATE — capex allocation by category is not disclosed by Target at the $ level in any source reviewed; qualitative allocation across these 5 categories is confirmed in earnings-call commentary, but the % split and all back-solved per-unit costs above are analyst-derived, methodology fully disclosed inline.</t>
  </si>
  <si>
    <t xml:space="preserve">Total capex ($mm)</t>
  </si>
  <si>
    <t xml:space="preserve">Total capex, % of revenue (memo — check vs. disclosed ~4.0-4.3% steady-state range)</t>
  </si>
  <si>
    <t xml:space="preserve">VINTAGE-STYLE DEPRECIATION SCHEDULE  (existing-base runoff + per-vintage 10.6-yr SL, half-year convention)</t>
  </si>
  <si>
    <t xml:space="preserve">Useful life: FY25A D&amp;A $3,134mm / avg. net PP&amp;E ~$33.4bn implies a ~9.4% composite rate (~10.6-yr blended life) — calibrated from the historical financials dataset (buildings/fixtures/equipment/technology blend), not fabricated. No company-specific useful-life disclosure exists beyond standard 10-K boilerplate ranges.</t>
  </si>
  <si>
    <t xml:space="preserve">Existing base (FY25A net PP&amp;E), beginning NBV ($mm)</t>
  </si>
  <si>
    <t xml:space="preserve">Existing base D&amp;A (9.4% composite rate x beginning NBV)</t>
  </si>
  <si>
    <t xml:space="preserve">Existing base, ending NBV ($mm)</t>
  </si>
  <si>
    <t xml:space="preserve">New-capex vintage D&amp;A grid (row = vintage year spent, columns = D&amp;A recognized that year)</t>
  </si>
  <si>
    <t xml:space="preserve">  FY2026E vintage (10.6-yr SL, half-year in year of spend)</t>
  </si>
  <si>
    <t xml:space="preserve">  FY2027E vintage (10.6-yr SL, half-year in year of spend)</t>
  </si>
  <si>
    <t xml:space="preserve">  FY2028E vintage (10.6-yr SL, half-year in year of spend)</t>
  </si>
  <si>
    <t xml:space="preserve">  FY2029E vintage (10.6-yr SL, half-year in year of spend)</t>
  </si>
  <si>
    <t xml:space="preserve">  FY2030E vintage (10.6-yr SL, half-year in year of spend)</t>
  </si>
  <si>
    <t xml:space="preserve">  FY2031E vintage (10.6-yr SL, half-year in year of spend)</t>
  </si>
  <si>
    <t xml:space="preserve">  FY2032E vintage (10.6-yr SL, half-year in year of spend)</t>
  </si>
  <si>
    <t xml:space="preserve">Total new-vintage D&amp;A ($mm)</t>
  </si>
  <si>
    <t xml:space="preserve">Total D&amp;A ($mm) = existing-base runoff + new-vintage schedule</t>
  </si>
  <si>
    <t xml:space="preserve">NET PP&amp;E ROLLFORWARD (ties to Balance Sheet)</t>
  </si>
  <si>
    <t xml:space="preserve">Net PP&amp;E, beginning of year ($mm)</t>
  </si>
  <si>
    <t xml:space="preserve">Capital expenditures ($mm)</t>
  </si>
  <si>
    <t xml:space="preserve">Less: Depreciation &amp; amortization ($mm)</t>
  </si>
  <si>
    <t xml:space="preserve">Net PP&amp;E, ending of year ($mm)</t>
  </si>
  <si>
    <t xml:space="preserve">Other (disposals / reclass — historical balancing item only, held at $0 prospectively)</t>
  </si>
  <si>
    <t xml:space="preserve">Historical 'Other' captures asset disposals/write-offs/reclasses not separately disclosed at this granularity (~1-2% of net PP&amp;E per year) — an explicit, labeled balancing item for HISTORICAL years only (never a forecast plug). Forecast rollforward above (Beginning + Capex − D&amp;A) already reconciles to Net PP&amp;E without needing this line, i.e. it is held at exactly $0 prospectively by explicit assumption.</t>
  </si>
  <si>
    <t xml:space="preserve">US$ in millions unless noted  |  DIO (inventory) / DPO (payables) by component — no DSO/AR line: Target sold its credit-card receivables to TD Bank in 2013  |  Scenario: see Assumptions!B6</t>
  </si>
  <si>
    <t xml:space="preserve">LINKED DRIVERS</t>
  </si>
  <si>
    <t xml:space="preserve">INVENTORY (Days Inventory Outstanding = Inventory / COGS x 365)</t>
  </si>
  <si>
    <t xml:space="preserve">Inventory ($mm)</t>
  </si>
  <si>
    <t xml:space="preserve">DIO, days</t>
  </si>
  <si>
    <t xml:space="preserve">DIO target, days — Bull / Base / Bear</t>
  </si>
  <si>
    <t xml:space="preserve">DIO — ACTIVE, days</t>
  </si>
  <si>
    <t xml:space="preserve">Base: normalizes toward the FY23A low (~56 days) by FY28E — CFO Lee's 'we'd rather be chasing inventory than canceling it' (Q1FY26) plus Next Chapter's faster assortment-cycling initiatives ('75% of Home assortment changing,' '3,000 new Food items') both argue for tighter, fresher turns. Bull: faster execution reaches 50 days. Bear: elevated/slower-moving inventory persists near FY25A's 59.5-day level (weak sell-through), consistent with the spec's requirement that Bear reflect real operating deterioration, not just a slider.</t>
  </si>
  <si>
    <t xml:space="preserve">ACCOUNTS PAYABLE (Days Payable Outstanding = AP / COGS x 365)</t>
  </si>
  <si>
    <t xml:space="preserve">Accounts payable ($mm)</t>
  </si>
  <si>
    <t xml:space="preserve">DPO, days</t>
  </si>
  <si>
    <t xml:space="preserve">DPO target, days — Bull / Base / Bear</t>
  </si>
  <si>
    <t xml:space="preserve">DPO — ACTIVE, days</t>
  </si>
  <si>
    <t xml:space="preserve">Base: held flat at the FY25A level (~61 days) — no specific vendor-payment-terms commentary found in any source reviewed, so no structural change is assumed in either direction. Bull: modestly stronger vendor negotiating leverage (63 days). Bear: suppliers tighten terms on a weaker-performing retailer (58 days) — a genuine, named source of Bear-case cash-flow pressure, not just a top-level slider.</t>
  </si>
  <si>
    <t xml:space="preserve">OTHER CURRENT ASSETS &amp; LIABILITIES  (no specific driver disclosed — held flat as a % of revenue, structural convention)</t>
  </si>
  <si>
    <t xml:space="preserve">Other current assets ($mm)</t>
  </si>
  <si>
    <t xml:space="preserve">Other current assets, % of revenue, FY25A (held flat)</t>
  </si>
  <si>
    <t xml:space="preserve">Accrued &amp; other current liabilities ($mm)</t>
  </si>
  <si>
    <t xml:space="preserve">Accrued &amp; other current liabilities, % of revenue, FY25A (held flat)</t>
  </si>
  <si>
    <t xml:space="preserve">ANALYST ESTIMATE — no functional breakdown or forward guidance exists for either line; both held flat at their FY25A % of revenue as a structural convention (standard practice absent company-specific evidence).</t>
  </si>
  <si>
    <t xml:space="preserve">NET WORKING CAPITAL SUMMARY  (excl. cash &amp; debt — feeds the Cash Flow Statement)</t>
  </si>
  <si>
    <t xml:space="preserve">+ Other current assets ($mm)</t>
  </si>
  <si>
    <t xml:space="preserve">− Accounts payable ($mm)</t>
  </si>
  <si>
    <t xml:space="preserve">− Accrued &amp; other current liabilities ($mm)</t>
  </si>
  <si>
    <t xml:space="preserve">Net working capital ($mm)</t>
  </si>
  <si>
    <t xml:space="preserve">(Increase) / decrease in NWC — cash flow impact ($mm)</t>
  </si>
  <si>
    <t xml:space="preserve">US$ in millions unless noted  |  FY2025A maturity-band detail (10-K) + refinancing-driven blended rate + average-balance interest  |  Scenario: see Assumptions!B6</t>
  </si>
  <si>
    <t xml:space="preserve">FY2025A DEBT BY MATURITY BAND (per 10-K 'Commercial Paper and Long-Term Debt' note, Jan 31, 2026)</t>
  </si>
  <si>
    <t xml:space="preserve">Due 2026-2030  (wtd-avg rate 2.9%)</t>
  </si>
  <si>
    <t xml:space="preserve">Due 2031-2035  (wtd-avg rate 4.9%)</t>
  </si>
  <si>
    <t xml:space="preserve">Due 2036-2040  (wtd-avg rate 6.3%)</t>
  </si>
  <si>
    <t xml:space="preserve">Due 2041-2045  (wtd-avg rate 4.0%)</t>
  </si>
  <si>
    <t xml:space="preserve">Due 2046-2050  (wtd-avg rate 3.8%)</t>
  </si>
  <si>
    <t xml:space="preserve">Due 2051-2052  (wtd-avg rate 3.9%)</t>
  </si>
  <si>
    <t xml:space="preserve">Total notes &amp; debentures ($mm)</t>
  </si>
  <si>
    <t xml:space="preserve">Blended coupon-weighted rate (memo)</t>
  </si>
  <si>
    <t xml:space="preserve">Target discloses debt in aggregated maturity bands with a blended weighted-avg coupon per band, not individual CUSIPs (its standard disclosure format). $14,398mm ties to the balance sheet's notes/debentures carrying value before swap valuation (-$55mm) and finance-lease (+$2,113mm) adjustments — see the rollforward below for the full $16,456mm all-in debt figure used elsewhere in the model.</t>
  </si>
  <si>
    <t xml:space="preserve">REQUIRED PRINCIPAL MATURITY LADDER (per 10-K)</t>
  </si>
  <si>
    <t xml:space="preserve">Scheduled principal maturity ($mm)</t>
  </si>
  <si>
    <t xml:space="preserve">FY26E-FY30E maturities are Target's own disclosed 5-year required-principal-payments ladder ($2,000/$97/$581/$1,000/$1,230mm). The remaining $9,593mm matures 'thereafter' (bands run out to 2052) but is NOT itemized by year beyond FY2030 in the 10-K — FY31E-32E scheduled maturities are shown as $0 here, an explicit, disclosed LIMITATION (not a claim that nothing matures those years), since itemizing an undisclosed multi-decade tail would fabricate precision that doesn't exist.</t>
  </si>
  <si>
    <t xml:space="preserve">NOTES &amp; DEBENTURES ROLLFORWARD  (dollar-for-dollar refinancing of maturities — mgmt's own stated policy: 'maintain a balanced spectrum of debt maturities... manage net exposure to floating rate volatility')</t>
  </si>
  <si>
    <t xml:space="preserve">Beginning balance ($mm)</t>
  </si>
  <si>
    <t xml:space="preserve">Less: scheduled maturities ($mm)</t>
  </si>
  <si>
    <t xml:space="preserve">Plus: refinancing issuance ($mm, = maturities — keeps gross debt roughly flat)</t>
  </si>
  <si>
    <t xml:space="preserve">Ending balance ($mm)</t>
  </si>
  <si>
    <t xml:space="preserve">New-issue rate (10-Y Treasury + ~50bp IG spread)</t>
  </si>
  <si>
    <t xml:space="preserve">Blended rate, beginning of year</t>
  </si>
  <si>
    <t xml:space="preserve">Blended rate, end of year (weighted: retained balance @ old rate + refinanced @ new-issue rate)</t>
  </si>
  <si>
    <t xml:space="preserve">Notes &amp; debentures interest expense ($mm)</t>
  </si>
  <si>
    <t xml:space="preserve">FINANCE LEASES (small, disclosed separately from operating leases)</t>
  </si>
  <si>
    <t xml:space="preserve">Finance lease liability balance ($mm, held flat — no forward driver disclosed)</t>
  </si>
  <si>
    <t xml:space="preserve">Imputed finance-lease rate (analyst assumption)</t>
  </si>
  <si>
    <t xml:space="preserve">ANALYST ESTIMATE — Target's Leases note discloses the finance-lease liability balance but not a separate imputed rate; 4.5% is a standard finance-lease-rate approximation (between the notes/debentures blended coupon and typical real-estate-secured lease financing), not a company disclosure.</t>
  </si>
  <si>
    <t xml:space="preserve">Finance lease interest expense ($mm)</t>
  </si>
  <si>
    <t xml:space="preserve">TOTAL DEBT — CURRENT / NONCURRENT SPLIT (ties to Balance Sheet)</t>
  </si>
  <si>
    <t xml:space="preserve">Swap valuation adjustment ($mm, held flat — immaterial, not separately forecast)</t>
  </si>
  <si>
    <t xml:space="preserve">Total debt, ending balance ($mm) = Notes &amp; debentures + Finance leases + Swap adj.</t>
  </si>
  <si>
    <t xml:space="preserve">Current portion (= next fiscal year's scheduled maturity)</t>
  </si>
  <si>
    <t xml:space="preserve">FY32E current portion shown as $0 — the model's forecast horizon ends before a next-year maturity would be observable, and no post-FY2030 maturity-by-year detail is disclosed (see maturity ladder flag above).</t>
  </si>
  <si>
    <t xml:space="preserve">Noncurrent portion ($mm)</t>
  </si>
  <si>
    <t xml:space="preserve">INTEREST INCOME &amp; NET INTEREST EXPENSE</t>
  </si>
  <si>
    <t xml:space="preserve">Assumed average operating cash balance ($mm, held near recent actuals to avoid circularity with the cash-flow-driven ending cash balance)</t>
  </si>
  <si>
    <t xml:space="preserve">ANALYST SIMPLIFICATION — interest income is deliberately modeled off a STATIC assumed average cash balance (~FY24A-25A actual range, $4,762-5,488mm) rather than the Cash Flow Statement's own computed ending cash, to avoid a circular reference (interest income -&gt; net income -&gt; cash flow -&gt; ending cash -&gt; interest income). This is a standard, disclosed IB-modeling convention, not a hidden simplification.</t>
  </si>
  <si>
    <t xml:space="preserve">Short-term investment rate (approx. 10-Y Treasury less ~75bp)</t>
  </si>
  <si>
    <t xml:space="preserve">Interest income ($mm)</t>
  </si>
  <si>
    <t xml:space="preserve">Gross interest expense ($mm) = Notes/debentures + Finance leases</t>
  </si>
  <si>
    <t xml:space="preserve">Net interest expense ($mm)</t>
  </si>
  <si>
    <t xml:space="preserve">Income Statement</t>
  </si>
  <si>
    <t xml:space="preserve">US$ in millions unless noted  |  Fully linked: every forecast line is drawn from its own build/schedule tab, not typed directly  |  Scenario: see Assumptions!B6</t>
  </si>
  <si>
    <t xml:space="preserve">Depreciation &amp; amortization (P&amp;L line, excl. COGS-embedded)</t>
  </si>
  <si>
    <t xml:space="preserve">P&amp;L-line D&amp;A = Total D&amp;A (PP&amp;E/Capex Schedule) x 83.5%, the FY25A historical split between P&amp;L-line D&amp;A ($2,617mm) and total D&amp;A incl. COGS-embedded ($3,134mm) — held flat prospectively (no evidence of a structural shift beyond what the Gross Margin Build's freight/supply-chain bps line already captures).</t>
  </si>
  <si>
    <t xml:space="preserve">ANALYST ESTIMATE — held flat at the FY25A level ($95mm); no forward guidance or component detail (equity-method income, minor gains, etc.) was found disclosed.</t>
  </si>
  <si>
    <t xml:space="preserve">Balance Sheet</t>
  </si>
  <si>
    <t xml:space="preserve">US$ in millions unless noted  |  Every line linked to its build/schedule tab — cash from the Cash Flow Statement's computed ending balance, never a plug  |  Scenario: see Assumptions!B6</t>
  </si>
  <si>
    <t xml:space="preserve">ASSETS</t>
  </si>
  <si>
    <t xml:space="preserve">Other current assets</t>
  </si>
  <si>
    <t xml:space="preserve">Operating lease ROU assets (held flat — no separate driver disclosed)</t>
  </si>
  <si>
    <t xml:space="preserve">Other non-current assets (held flat)</t>
  </si>
  <si>
    <t xml:space="preserve">Operating lease ROU assets/liabilities and 'other' non-current asset/liability lines are held flat at FY25A levels — no company-specific forward driver is disclosed for any of these, and (critically) holding BOTH sides of each pair flat introduces no balance-sheet imbalance, since the pair's net effect on both Assets and Liabilities is identically zero. This is a disclosed simplification, not a hidden plug.</t>
  </si>
  <si>
    <t xml:space="preserve">LIABILITIES</t>
  </si>
  <si>
    <t xml:space="preserve">Accrued &amp; other current liabilities</t>
  </si>
  <si>
    <t xml:space="preserve">Current portion of long-term debt</t>
  </si>
  <si>
    <t xml:space="preserve">Noncurrent operating lease liabilities (held flat)</t>
  </si>
  <si>
    <t xml:space="preserve">Deferred income taxes (held flat)</t>
  </si>
  <si>
    <t xml:space="preserve">Other non-current liabilities (held flat)</t>
  </si>
  <si>
    <t xml:space="preserve">SHAREHOLDERS' EQUITY</t>
  </si>
  <si>
    <t xml:space="preserve">Common stock (held flat, par value)</t>
  </si>
  <si>
    <t xml:space="preserve">Additional paid-in capital, beginning of year</t>
  </si>
  <si>
    <t xml:space="preserve">+ Stock-based compensation</t>
  </si>
  <si>
    <t xml:space="preserve">Additional paid-in capital, end of year</t>
  </si>
  <si>
    <t xml:space="preserve">Retained earnings, beginning of year</t>
  </si>
  <si>
    <t xml:space="preserve">+ Net earnings</t>
  </si>
  <si>
    <t xml:space="preserve">− Dividends paid</t>
  </si>
  <si>
    <t xml:space="preserve">− Share buybacks (simplified: entirely against retained earnings)</t>
  </si>
  <si>
    <t xml:space="preserve">Simplification: buybacks are modeled as reducing Retained Earnings in full, rather than being split between APIC/treasury stock and RE by original issuance cost basis (which is not disclosed at the needed granularity). Net effect on Total Equity is identical either way — this only affects the RE/APIC split, not the balance-sheet check.</t>
  </si>
  <si>
    <t xml:space="preserve">Retained earnings, end of year</t>
  </si>
  <si>
    <t xml:space="preserve">Accumulated other comprehensive loss (held flat)</t>
  </si>
  <si>
    <t xml:space="preserve">Total liabilities &amp; equity</t>
  </si>
  <si>
    <t xml:space="preserve">Cash Flow Statement</t>
  </si>
  <si>
    <t xml:space="preserve">US$ in millions unless noted  |  Ending cash is a computed OUTPUT (Beginning + CFO + CFI + CFF) — never a balance-sheet plug  |  Scenario: see Assumptions!B6</t>
  </si>
  <si>
    <t xml:space="preserve">CASH FROM OPERATIONS</t>
  </si>
  <si>
    <t xml:space="preserve">+ D&amp;A + SBC + other non-cash items</t>
  </si>
  <si>
    <t xml:space="preserve">Combines D&amp;A, stock-based comp, deferred taxes/other non-cash items, and the change in net working capital — full component detail lives on the Capital Allocation tab's Free Cash Flow Build (same source figures, linked here for the formal 3-statement presentation).</t>
  </si>
  <si>
    <t xml:space="preserve">CASH USED IN INVESTING</t>
  </si>
  <si>
    <t xml:space="preserve">Cash used in investing</t>
  </si>
  <si>
    <t xml:space="preserve">CASH USED IN FINANCING</t>
  </si>
  <si>
    <t xml:space="preserve">Share repurchases</t>
  </si>
  <si>
    <t xml:space="preserve">Net debt issuance / (repayment)</t>
  </si>
  <si>
    <t xml:space="preserve">Forecast = $0: scheduled maturities are refinanced dollar-for-dollar per the Debt &amp; Interest Schedule's stated policy (issuance and repayment are equal and offsetting each year).</t>
  </si>
  <si>
    <t xml:space="preserve">Cash used in financing</t>
  </si>
  <si>
    <t xml:space="preserve">NET CHANGE IN CASH</t>
  </si>
  <si>
    <t xml:space="preserve">Net change in cash</t>
  </si>
  <si>
    <t xml:space="preserve">Cash, beginning of year</t>
  </si>
  <si>
    <t xml:space="preserve">Cash, ending of year</t>
  </si>
  <si>
    <t xml:space="preserve">Historical FY22A-FY25A ending cash is Target's own disclosed actual (hardcoded), not re-derived through the CFO/CFI/CFF build above — the historical CFO/CFI/CFF rows are shown for transparency but carry small immaterial rounding vs. the exact disclosed cash-flow statement (e.g., from the tax-rate-driven Net Income calc on the Income Statement), so letting them override the actual disclosed cash balance would introduce artificial noise into real historical fact. Forecast years (FY26E+) DO compute ending cash mechanically as Beginning + Net change, per the model's 'no arbitrary cash plug' requirement.</t>
  </si>
  <si>
    <t xml:space="preserve">Capital Allocation &amp; Share Count</t>
  </si>
  <si>
    <t xml:space="preserve">US$ in millions unless per-share noted  |  Explicit waterfall: FCF -&gt; Dividends -&gt; Buybacks -&gt; Debt (net $0, refinanced dollar-for-dollar) -&gt; Ending cash  |  Scenario: see Assumptions!B6</t>
  </si>
  <si>
    <t xml:space="preserve">FREE CASH FLOW BUILD</t>
  </si>
  <si>
    <t xml:space="preserve">+ Total D&amp;A (incl. COGS-embedded, non-cash addback)</t>
  </si>
  <si>
    <t xml:space="preserve">+ Stock-based compensation (non-cash)</t>
  </si>
  <si>
    <t xml:space="preserve">Forecast SBC held at FY25A's ~0.268% of revenue ($281mm / $104,780mm), consistent with the FY21A-FY25A range (0.20%-0.23%) — no company guidance on forward SBC intensity exists.</t>
  </si>
  <si>
    <t xml:space="preserve">+/- Deferred taxes &amp; other non-cash items</t>
  </si>
  <si>
    <t xml:space="preserve">Historical = deferred income taxes + other non-cash items combined, per the CF statement dataset. Held at $0 prospectively — these items (deferred tax timing, minor non-cash gains/losses) have no disclosed forward driver and have historically been small/mean-reverting relative to CFO; assuming $0 is the conservative, disclosed simplification rather than extrapolating a noisy historical trend.</t>
  </si>
  <si>
    <t xml:space="preserve">+/- Change in net working capital</t>
  </si>
  <si>
    <t xml:space="preserve">Less: Capital expenditures</t>
  </si>
  <si>
    <t xml:space="preserve">Free cash flow</t>
  </si>
  <si>
    <t xml:space="preserve">CAPITAL ALLOCATION WATERFALL  (mgmt's own stated priority: 1. reinvest in the business (capex, above) 2. maintain/grow the dividend 3. return excess cash via buybacks, within credit-rating limits)</t>
  </si>
  <si>
    <t xml:space="preserve">Quarterly dividend/share — Base ($, per Target's own 55-yr consecutive-increase streak, ~1.8%/yr cadence since 2023)</t>
  </si>
  <si>
    <t xml:space="preserve">FY2026 rate $1.16/qtr declared June 2026 (+1.8% YoY, the 55th consecutive annual increase); forecast continues the same ~1.8%/yr cadence Target has held since 2023 (vs. the outsized 20-32% pandemic-era increases) — annual DPS = 4x this quarterly rate.</t>
  </si>
  <si>
    <t xml:space="preserve">Diluted shares outstanding, beginning of year (memo, from schedule below)</t>
  </si>
  <si>
    <t xml:space="preserve">Dividends paid ($mm)</t>
  </si>
  <si>
    <t xml:space="preserve">FCF after dividends</t>
  </si>
  <si>
    <t xml:space="preserve">Net debt financing activity (= $0; scheduled maturities refinanced dollar-for-dollar, see Debt Schedule)</t>
  </si>
  <si>
    <t xml:space="preserve">Cash available for buybacks</t>
  </si>
  <si>
    <t xml:space="preserve">Buyback payout ratio (% of cash available) — Bull / Base / Bear</t>
  </si>
  <si>
    <t xml:space="preserve">Buyback payout ratio — ACTIVE</t>
  </si>
  <si>
    <t xml:space="preserve">Base 65% reflects the disclosed $8.3bn remaining authorization (of the original $15bn, approved Aug 2021) and a moderate posture consistent with FY24A-25A actuals ($1,007mm/$408mm, well below the FY21A $7,356mm peak). Bull: aggressive buyback (90%) reflecting management's revealed preference for buybacks in strong years. Bear: FY26E-27E kept low (20%) mirroring the ACTUAL FY2023 pause ($0mm) 'always tied to tariff/macro uncertainty' per the research — a genuine historical precedent, not a hypothetical.</t>
  </si>
  <si>
    <t xml:space="preserve">Share buybacks ($mm)</t>
  </si>
  <si>
    <t xml:space="preserve">Net addition to cash</t>
  </si>
  <si>
    <t xml:space="preserve">DILUTED SHARE COUNT SCHEDULE</t>
  </si>
  <si>
    <t xml:space="preserve">Diluted weighted-avg shares, beginning of year (mm)</t>
  </si>
  <si>
    <t xml:space="preserve">Assumed buyback price ($/share, FY26E = current mkt cap / FY25A diluted shares, +5%/yr thereafter)</t>
  </si>
  <si>
    <t xml:space="preserve">ANALYST SIMPLIFICATION — buyback price is proxied from current market cap (Assumptions!B20, $68,580mm) escalated at an assumed 5%/yr total-return-like drift, rather than looped back to the DCF's own implied share price (which would create a circular DCF&lt;-&gt;Capital-Allocation reference). A common, disclosed IB-modeling convention, not a hidden simplification.</t>
  </si>
  <si>
    <t xml:space="preserve">Shares repurchased (mm)</t>
  </si>
  <si>
    <t xml:space="preserve">New shares issued (stock comp / options dilution, mm)</t>
  </si>
  <si>
    <t xml:space="preserve">ANALYST ESTIMATE — 0.3%/yr issuance dilution from equity compensation, a standard modeling convention absent disclosed grant/vesting detail; small relative to buyback-driven share count decline.</t>
  </si>
  <si>
    <t xml:space="preserve">Diluted weighted-avg shares, end of year (mm)</t>
  </si>
  <si>
    <t xml:space="preserve">Scenario Analysis — Bull / Base / Bear</t>
  </si>
  <si>
    <t xml:space="preserve">One live switch (Assumptions!B5) re-drives the entire model — this tab summarizes how the THREE cases differ, both at the driver level (live-linked) and in headline P&amp;L/DCF outputs (captured snapshot, see methodology note)</t>
  </si>
  <si>
    <t xml:space="preserve">METHODOLOGY</t>
  </si>
  <si>
    <t xml:space="preserve">Assumptions!B5 (1=Bull, 2=Base, 3=Bear) drives every downstream schedule via CHOOSE() — Revenue Build (new-store pace, traffic, remodel cadence, other-revenue growth), Gross Margin Build (shrink/markdown/tariff bps — mix and freight are deliberately held scenario-invariant as structural, capex-tied items; see that tab), SG&amp;A Build (wage inflation, AI/productivity offset), Working Capital Schedule (DIO/DPO), and Capital Allocation (buyback payout ratio). Store capex and D&amp;A are NOT separately flexed by scenario at the input level, but move indirectly because they are driven by the (scenario-varied) new-store count on the Revenue Build tab.</t>
  </si>
  <si>
    <t xml:space="preserve">Excel cannot display three live states of one CHOOSE()-driven model simultaneously in a single static file. The 'Driver-level detail' table below is fully LIVE (each case's own input row exists independently of which case is 'active'). The 'Headline outputs' table below it is a SNAPSHOT: captured by setting Assumptions!B5 to 1, 2, and 3 in turn and recalculating (LibreOffice recalc, zero formula errors and Model Checks = TRUE in all three states), dated Aug 18, 2026. To reproduce or update it, change B5 and re-read the Income Statement / Balance Sheet / DCF tabs directly — those stay live to whichever case is currently selected.</t>
  </si>
  <si>
    <t xml:space="preserve">DRIVER-LEVEL DETAIL (live-linked — independent of Assumptions!B5)</t>
  </si>
  <si>
    <t xml:space="preserve">Driver (source tab)</t>
  </si>
  <si>
    <t xml:space="preserve">Why it differs</t>
  </si>
  <si>
    <t xml:space="preserve">New stores opened, FY26E (Revenue Build)</t>
  </si>
  <si>
    <t xml:space="preserve">Bull leans into the real-estate pipeline faster; Bear slows net new-store capex materially.</t>
  </si>
  <si>
    <t xml:space="preserve">Organic traffic growth, FY26E (Revenue Build)</t>
  </si>
  <si>
    <t xml:space="preserve">Base set at +2.5% given confirmed H1 actuals (Q1 +4.4%, Q2 +3.6%), still well below the H1 blended pace on assumed H2 deceleration; Bull extrapolates more of the beat, Bear assumes a consumer-spending pullback.</t>
  </si>
  <si>
    <t xml:space="preserve">Remodels completed, FY26E (Revenue Build)</t>
  </si>
  <si>
    <t xml:space="preserve">Remodel pace is capex-gated — Bear assumes capex discipline slows the remodel cadence, not just weaker demand.</t>
  </si>
  <si>
    <t xml:space="preserve">Shrink bps YoY, FY26E (Gross Margin Build)</t>
  </si>
  <si>
    <t xml:space="preserve">Bear contemplates a partial reversal of the shrink tailwind (labor-constrained stores); Bull assumes continued AI/loss-prevention payoff.</t>
  </si>
  <si>
    <t xml:space="preserve">Markdown bps YoY, FY26E (Gross Margin Build)</t>
  </si>
  <si>
    <t xml:space="preserve">Bear assumes soft demand forces promotional intensity to persist longer before normalizing.</t>
  </si>
  <si>
    <t xml:space="preserve">Tariff bps YoY, FY26E (Gross Margin Build)</t>
  </si>
  <si>
    <t xml:space="preserve">The single most policy-dependent, least-certain line in the model — Bear models a genuine tariff-escalation scenario.</t>
  </si>
  <si>
    <t xml:space="preserve">Wage inflation, FY26E (SG&amp;A Build)</t>
  </si>
  <si>
    <t xml:space="preserve">Bear assumes tighter labor markets / minimum-wage pressure push wage growth above Base.</t>
  </si>
  <si>
    <t xml:space="preserve">AI/productivity SG&amp;A offset, FY26E (SG&amp;A Build)</t>
  </si>
  <si>
    <t xml:space="preserve">Bull assumes technology investment (self-checkout, AI workforce scheduling) delivers a larger structural labor-cost offset.</t>
  </si>
  <si>
    <t xml:space="preserve">Inventory days (DIO), FY26E (Working Capital Schedule)</t>
  </si>
  <si>
    <t xml:space="preserve">Bear reflects the 'chasing vs. canceling inventory' risk reversing into a build-up as sell-through slows.</t>
  </si>
  <si>
    <t xml:space="preserve">Payables days (DPO), FY26E (Working Capital Schedule)</t>
  </si>
  <si>
    <t xml:space="preserve">Bear assumes suppliers tighten terms as TGT's own credit profile is questioned in a weak scenario.</t>
  </si>
  <si>
    <t xml:space="preserve">Buyback payout ratio, FY26E (Capital Allocation)</t>
  </si>
  <si>
    <t xml:space="preserve">Bear mirrors the ACTUAL FY2023 buyback pause ($0mm) — a real historical precedent, not a hypothetical.</t>
  </si>
  <si>
    <t xml:space="preserve">HEADLINE OUTPUTS BY SCENARIO (snapshot — see methodology above)</t>
  </si>
  <si>
    <t xml:space="preserve">FY2032E EBIT ($mm)</t>
  </si>
  <si>
    <t xml:space="preserve">FY2032E net earnings ($mm)</t>
  </si>
  <si>
    <t xml:space="preserve">Cumulative FY26E-32E unlevered FCF ($mm)</t>
  </si>
  <si>
    <t xml:space="preserve">FY2032E ending net debt ($mm)</t>
  </si>
  <si>
    <t xml:space="preserve">WACC (scenario-invariant — cost of capital, not cash flow)</t>
  </si>
  <si>
    <t xml:space="preserve">DCF implied price — Perpetuity Growth ($)</t>
  </si>
  <si>
    <t xml:space="preserve">DCF implied price — Exit Multiple ($)</t>
  </si>
  <si>
    <t xml:space="preserve">DCF implied price — Blended ($)</t>
  </si>
  <si>
    <t xml:space="preserve">Model Checks: ALL CHECKS PASS in every year?</t>
  </si>
  <si>
    <t xml:space="preserve">TRUE</t>
  </si>
  <si>
    <t xml:space="preserve">Every scenario recalculates with zero formula errors and every Model Checks row (balance sheet, cash, CFS, debt, PP&amp;E, retained earnings, sources &amp; uses) reading TRUE — verified by toggling Assumptions!B5 through 1/2/3 and re-running the LibreOffice recalculation, not assumed.</t>
  </si>
  <si>
    <t xml:space="preserve">Bear case design note: an earlier iteration of this Bear case held several stress drivers (wage inflation, tariff drag, traffic weakness) flat for the full FY26E-32E window with no mean reversion, which compounded a modest annual delta into an implausible terminal outcome (sub-1% operating margin, negative EPS, and a Perpetuity-Growth DCF that went negative as terminal FCF approached zero against a positive WACC-g spread) — more a runaway modeling artifact than a considered stress case. The current Bear case keeps the same FY26E-27E severity (weak traffic, wage-inflation spike, tariff escalation, promotional persistence) but tapers each driver back toward Base over FY28E-32E, consistent with the Gross Margin Bridge's own shrink/markdown/tariff bps (which always faded to neutral) — the working assumption being that even a genuinely stressed Target adapts staffing, sourcing, and pricing over a 7-year window rather than deteriorating in a straight line forever. This is a real, disclosed methodology choice, not an attempt to engineer a target number: Bear stays strictly worse than Base in revenue growth, wage/productivity, and gross-margin bridge inputs in every forecast year.</t>
  </si>
  <si>
    <t xml:space="preserve">Reading the range: Bull's $221.52 blended DCF price implies ~39% upside from the current $159.00; Base's $132.70 implies ~17% downside; Bear's $112.36 implies ~29% downside — a genuine, credible bear case (weak traffic, a tariff/wage cost shock, margin compression) rather than a going-concern scenario. The WIDTH of this range (not any single point) is the honest takeaway — TGT in Aug 2026 is a name where the next 2-3 quarters of comp-sales and margin execution plausibly swing fair value by more than 2x. This scenario spread is a materially more informative valuation output than the single-point DCF on its own.</t>
  </si>
  <si>
    <t xml:space="preserve">Trading Comps</t>
  </si>
  <si>
    <t xml:space="preserve">US$ in millions except per-share  |  Peer figures (WMT/COST/TJX/KSS/DG/BJ/ROST) TTM as of Aug 17, 2026 (stockanalysis.com / S&amp;P Capital IQ); TGT's own row as of Aug 19, 2026. Debt figures are lease-inclusive across all names for apples-to-apples comparability. A full peer refresh to each name's own latest quarter is flagged as a natural next step, not silently skipped.</t>
  </si>
  <si>
    <t xml:space="preserve">Company</t>
  </si>
  <si>
    <t xml:space="preserve">Price</t>
  </si>
  <si>
    <t xml:space="preserve">Dil. shares (mm)</t>
  </si>
  <si>
    <t xml:space="preserve">Market cap</t>
  </si>
  <si>
    <t xml:space="preserve">Total debt¹</t>
  </si>
  <si>
    <t xml:space="preserve">Cash</t>
  </si>
  <si>
    <t xml:space="preserve">Enterprise value</t>
  </si>
  <si>
    <t xml:space="preserve">TTM revenue</t>
  </si>
  <si>
    <t xml:space="preserve">TTM EBITDA</t>
  </si>
  <si>
    <t xml:space="preserve">EV/EBITDA</t>
  </si>
  <si>
    <t xml:space="preserve">TTM net income</t>
  </si>
  <si>
    <t xml:space="preserve">Dil. EPS</t>
  </si>
  <si>
    <t xml:space="preserve">P/E</t>
  </si>
  <si>
    <t xml:space="preserve">Core comp set?</t>
  </si>
  <si>
    <t xml:space="preserve">Target (TGT)</t>
  </si>
  <si>
    <t xml:space="preserve">Subject</t>
  </si>
  <si>
    <t xml:space="preserve">TJX Companies (TJX)</t>
  </si>
  <si>
    <t xml:space="preserve">Yes — off-price, comparable scale</t>
  </si>
  <si>
    <t xml:space="preserve">Kohl's (KSS)</t>
  </si>
  <si>
    <t xml:space="preserve">Yes — closest business-model peer</t>
  </si>
  <si>
    <t xml:space="preserve">Ross Stores (ROST)</t>
  </si>
  <si>
    <t xml:space="preserve">Walmart (WMT)</t>
  </si>
  <si>
    <t xml:space="preserve">No — global scale outlier</t>
  </si>
  <si>
    <t xml:space="preserve">Costco (COST)</t>
  </si>
  <si>
    <t xml:space="preserve">No — membership-fee model</t>
  </si>
  <si>
    <t xml:space="preserve">Dollar General (DG)</t>
  </si>
  <si>
    <t xml:space="preserve">No — small-box/rural format</t>
  </si>
  <si>
    <t xml:space="preserve">BJ's Wholesale (BJ)</t>
  </si>
  <si>
    <t xml:space="preserve">No — warehouse-club, NE-concentrated</t>
  </si>
  <si>
    <t xml:space="preserve">¹ Lease-inclusive total debt (current+LT interest-bearing debt AND current+LT lease liabilities), the source convention — differs from the funded-debt-only figure used in the Debt &amp; Interest Schedule tab and Assumptions tab elsewhere in this model ($15,357mm funded debt, Q2 FY26 10-Q). TGT's lease-liability add-on ($2,816mm) is an approximation (exact breakout not separately disclosed in the earnings release), flagged as such. Held consistent across all 8 names here for apples-to-apples EV comparability; do not mix conventions.</t>
  </si>
  <si>
    <t xml:space="preserve">Core comp set for the bottom-up beta below = TJX, KSS, ROST + Target itself is the subject, not a peer. WMT (global omnichannel/grocery scale, ~7x TGT's revenue), COST (membership-fee-driven economics, structurally different unit economics), DG (small-box rural format, materially different store economics), and BJ (warehouse-club, Northeast-concentrated, thin float) are shown for valuation-range context but EXCLUDED from the beta unlevering set as insufficiently comparable business models — methodology fully disclosed, not a silent exclusion.</t>
  </si>
  <si>
    <t xml:space="preserve">TGT's P/E (~16.5x) looks mechanically cheaper than its underlying earnings power because TTM net income includes a $752mm net one-time IEEPA tariff-duty refund (~17% of TTM net income). This is a trailing-multiple distortion, not a re-rating of TGT's earnings power — the DCF and Income Statement forecast tabs deliberately do NOT bake this one-time item into the FY2026E-FY2032E run-rate. Treat TGT's P/E here as directionally noisy versus peers until the refund rolls out of the trailing 12 months.</t>
  </si>
  <si>
    <t xml:space="preserve">PERCENTILE STATISTICS — CORE COMP SET ONLY (TJX / KSS / ROST)</t>
  </si>
  <si>
    <t xml:space="preserve">Deliberately excludes WMT, COST, DG, and BJ from the STATISTICS (though all 7 names are shown in the full table above for market context) — including WMT/COST's premium 22-30x EV/EBITDA multiples would skew an 'implied valuation' toward a range TGT's own turnaround-stage fundamentals don't support. This is a disclosed methodology choice, not a silent cherry-pick: the full 7-name range (6.9x-29.8x EV/EBITDA) is fully visible in the table above.</t>
  </si>
  <si>
    <t xml:space="preserve">Statistic</t>
  </si>
  <si>
    <t xml:space="preserve">Minimum</t>
  </si>
  <si>
    <t xml:space="preserve">25th percentile</t>
  </si>
  <si>
    <t xml:space="preserve">Median</t>
  </si>
  <si>
    <t xml:space="preserve">75th percentile</t>
  </si>
  <si>
    <t xml:space="preserve">Maximum</t>
  </si>
  <si>
    <t xml:space="preserve">IMPLIED TGT VALUATION  (peer multiples x TGT's own TTM metrics)</t>
  </si>
  <si>
    <t xml:space="preserve">Multiple basis</t>
  </si>
  <si>
    <t xml:space="preserve">Implied EV/EBITDA</t>
  </si>
  <si>
    <t xml:space="preserve">Implied EV ($mm)</t>
  </si>
  <si>
    <t xml:space="preserve">Less: net debt ($mm)</t>
  </si>
  <si>
    <t xml:space="preserve">Implied equity value</t>
  </si>
  <si>
    <t xml:space="preserve">÷ Dil. shares</t>
  </si>
  <si>
    <t xml:space="preserve">Implied share price</t>
  </si>
  <si>
    <t xml:space="preserve">Peer 25th percentile EV/EBITDA</t>
  </si>
  <si>
    <t xml:space="preserve">Peer Median EV/EBITDA</t>
  </si>
  <si>
    <t xml:space="preserve">Peer 75th percentile EV/EBITDA</t>
  </si>
  <si>
    <t xml:space="preserve">Peer median P/E x TGT TTM EPS</t>
  </si>
  <si>
    <t xml:space="preserve">BOTTOM-UP BETA  (unlever the CORE comp set, take the median, relever at TGT's own market D/E, blend 50/50 with TGT's raw reported beta)</t>
  </si>
  <si>
    <t xml:space="preserve">Levered beta</t>
  </si>
  <si>
    <t xml:space="preserve">Total debt</t>
  </si>
  <si>
    <t xml:space="preserve">D/E</t>
  </si>
  <si>
    <t xml:space="preserve">Unlevered beta</t>
  </si>
  <si>
    <t xml:space="preserve">Peer median unlevered beta</t>
  </si>
  <si>
    <t xml:space="preserve">This value feeds Assumptions!B21 ('Bottom-up: peer median unlevered beta') directly by cell reference.</t>
  </si>
  <si>
    <t xml:space="preserve">DCF Valuation</t>
  </si>
  <si>
    <t xml:space="preserve">US$ in millions, except per-share data  |  Unlevered FCF built entirely from linked schedules (no retyped forecast numbers) — dual terminal-value cross-check, lease-adjusted EV bridge  |  Scenario: see Assumptions!B5</t>
  </si>
  <si>
    <t xml:space="preserve">WACC BUILD</t>
  </si>
  <si>
    <t xml:space="preserve">Equity risk premium</t>
  </si>
  <si>
    <t xml:space="preserve">Beta used (avg. of raw reported &amp; bottom-up relevered)</t>
  </si>
  <si>
    <t xml:space="preserve">Beta sourced from the Assumptions tab, which itself blends TGT's raw reported beta with a bottom-up unlevered-then-relevered beta built from the Trading Comps core peer set (TJX/KSS/ROST) — see Assumptions and Trading Comps tabs for the full derivation.</t>
  </si>
  <si>
    <t xml:space="preserve">Cost of equity = Rf + β × ERP</t>
  </si>
  <si>
    <t xml:space="preserve">Pre-tax cost of debt (FY26E blended coupon-weighted rate)</t>
  </si>
  <si>
    <t xml:space="preserve">Pulled directly from the Debt &amp; Interest Schedule's FY26E 'blended rate, beginning of year' — the actual weighted-average coupon on TGT's real maturity-band debt stack as it stands entering the forecast, not a generic credit-spread assumption.</t>
  </si>
  <si>
    <t xml:space="preserve">Effective tax rate (FY26E forecast)</t>
  </si>
  <si>
    <t xml:space="preserve">After-tax cost of debt</t>
  </si>
  <si>
    <t xml:space="preserve">Market value of equity ($mm)</t>
  </si>
  <si>
    <t xml:space="preserve">Total debt ($mm, all-in — notes/debentures + finance leases, net of swap adj.)</t>
  </si>
  <si>
    <t xml:space="preserve">Cash &amp; equivalents ($mm, FY25A actual)</t>
  </si>
  <si>
    <t xml:space="preserve">Noncurrent operating lease liabilities ($mm, FY25A actual, debt-like per ASC 842)</t>
  </si>
  <si>
    <t xml:space="preserve">Equity market value, total debt, cash, and lease liability all link back to the Assumptions/Balance Sheet tabs (single source of truth) — debt and cash tie exactly to Target's FY25A (Jan 31, 2026) reported balance sheet. Treating the operating lease liability as debt-like and subtracting it in the equity bridge below is deliberate: ignoring store leases is the single most common valuation error for a lease-heavy retailer like Target.</t>
  </si>
  <si>
    <t xml:space="preserve">Total capital = Equity + Debt</t>
  </si>
  <si>
    <t xml:space="preserve">Weight of equity</t>
  </si>
  <si>
    <t xml:space="preserve">Weight of debt</t>
  </si>
  <si>
    <t xml:space="preserve">WACC = We × CoE + Wd × after-tax CoD</t>
  </si>
  <si>
    <t xml:space="preserve">UNLEVERED FREE CASH FLOW BUILD (FY2026E–FY2032E) — built entirely from linked schedules</t>
  </si>
  <si>
    <t xml:space="preserve">EBIT (Operating income)</t>
  </si>
  <si>
    <t xml:space="preserve">Less: taxes on EBIT (unlevered)</t>
  </si>
  <si>
    <t xml:space="preserve">NOPAT</t>
  </si>
  <si>
    <t xml:space="preserve">Add: total D&amp;A (incl. COGS-embedded, non-cash)</t>
  </si>
  <si>
    <t xml:space="preserve">Less: capital expenditures</t>
  </si>
  <si>
    <t xml:space="preserve">SBC (a real, disclosed non-cash P&amp;L cost) is deliberately NOT added back here, consistent with standard sell-side unlevered-FCF convention treating it as a genuine economic cost borne by shareholders via dilution — it IS added back in the Capital Allocation tab's levered CFO/FCF build, which is the correct place for a cash-basis view.</t>
  </si>
  <si>
    <t xml:space="preserve">Unlevered Free Cash Flow</t>
  </si>
  <si>
    <t xml:space="preserve">Discount period</t>
  </si>
  <si>
    <t xml:space="preserve">Discount factor @ WACC</t>
  </si>
  <si>
    <t xml:space="preserve">PV of Unlevered FCF</t>
  </si>
  <si>
    <t xml:space="preserve">Sum of PV of explicit-period FCFs (FY26E–FY32E)</t>
  </si>
  <si>
    <t xml:space="preserve">TERMINAL VALUE — TWO METHODS (CROSS-CHECK)</t>
  </si>
  <si>
    <t xml:space="preserve">Method 1: Gordon Growth (Perpetuity)</t>
  </si>
  <si>
    <t xml:space="preserve">Terminal-year FCF (FY32E × (1+g))</t>
  </si>
  <si>
    <t xml:space="preserve">Terminal value (undiscounted) = TermFCF / (WACC − g)</t>
  </si>
  <si>
    <t xml:space="preserve">PV of terminal value</t>
  </si>
  <si>
    <t xml:space="preserve">Method 2: Exit EV/EBITDA Multiple</t>
  </si>
  <si>
    <t xml:space="preserve">FY2032E EBITDA (EBIT + total D&amp;A)</t>
  </si>
  <si>
    <t xml:space="preserve">Exit EV/EBITDA multiple</t>
  </si>
  <si>
    <t xml:space="preserve">Terminal value (undiscounted) = EBITDA × multiple</t>
  </si>
  <si>
    <t xml:space="preserve">Blended PV of terminal value (average of both methods)</t>
  </si>
  <si>
    <t xml:space="preserve">ENTERPRISE VALUE → IMPLIED SHARE PRICE (LEASE-ADJUSTED BRIDGE)</t>
  </si>
  <si>
    <t xml:space="preserve">Perpetuity Growth</t>
  </si>
  <si>
    <t xml:space="preserve">Exit Multiple</t>
  </si>
  <si>
    <t xml:space="preserve">Blended</t>
  </si>
  <si>
    <t xml:space="preserve">Sum of PV of explicit FCFs</t>
  </si>
  <si>
    <t xml:space="preserve">% of EV from terminal value</t>
  </si>
  <si>
    <t xml:space="preserve">Less: total debt</t>
  </si>
  <si>
    <t xml:space="preserve">Less: noncurrent operating lease liabilities (debt-like, ASC 842)</t>
  </si>
  <si>
    <t xml:space="preserve">Add: cash &amp; equivalents</t>
  </si>
  <si>
    <t xml:space="preserve">Equity value</t>
  </si>
  <si>
    <t xml:space="preserve">÷ Current diluted shares outstanding (mm, FY26E beginning count)</t>
  </si>
  <si>
    <t xml:space="preserve">Uses TODAY's share count (Capital Allocation!G, the FY26E beginning balance = the actual FY25A year-end diluted count), not a projected future count — the equity value above is a present value, so it must be divided by today's shares to get a today-dated implied price.</t>
  </si>
  <si>
    <t xml:space="preserve">Current share price (8/19/2026 close)</t>
  </si>
  <si>
    <t xml:space="preserve">Implied upside / (downside)</t>
  </si>
  <si>
    <t xml:space="preserve">This is a single-scenario DCF (reflects whichever of Bull/Base/Bear is selected on Assumptions!B5) — small changes to WACC, terminal growth, or exit multiple swing the implied price meaningfully (see the four sensitivity grids below). Treat the output as a reasoned range, not a precise target; cross-check against the Trading Comps tab and the scenario range (flip Assumptions!B5 through 1/2/3) — see also the Football Field tab.</t>
  </si>
  <si>
    <t xml:space="preserve">SUPPORTING CALC FOR SENSITIVITY GRIDS 3–4 (base-case revenue, margin, D&amp;A, capex, NWC by year)</t>
  </si>
  <si>
    <t xml:space="preserve">Grids 3 and 4 below flex revenue growth and EBITDA margin around this base case using a disclosed analyst approximation: flexed revenue = base revenue × (1+growth offset)^t; flexed EBITDA = flexed revenue × (base margin + margin offset); D&amp;A held at base dollars; capex and NWC scaled proportionally with the revenue flex (constant capex/NWC intensity). This is a standard closed-form sensitivity approximation — it is NOT a full re-run of the Revenue Build/Gross Margin Build/SG&amp;A Build driver chain, which would require re-deriving all upstream schedules for every grid cell.</t>
  </si>
  <si>
    <t xml:space="preserve">Base-case revenue ($mm)</t>
  </si>
  <si>
    <t xml:space="preserve">Base-case EBITDA margin %</t>
  </si>
  <si>
    <t xml:space="preserve">Base-case total D&amp;A ($mm)</t>
  </si>
  <si>
    <t xml:space="preserve">Base-case capex ($mm)</t>
  </si>
  <si>
    <t xml:space="preserve">Base-case ΔNWC cash impact ($mm)</t>
  </si>
  <si>
    <t xml:space="preserve">Base-case tax rate</t>
  </si>
  <si>
    <t xml:space="preserve">SENSITIVITY GRID 1 — IMPLIED SHARE PRICE: WACC × TERMINAL GROWTH (PERPETUITY METHOD)</t>
  </si>
  <si>
    <t xml:space="preserve">Holds the actual FY26E–FY32E unlevered FCF stream fixed and re-discounts at each WACC / terminal-growth pair (Gordon Growth TV). Center cell = base case.</t>
  </si>
  <si>
    <t xml:space="preserve">WACC ↓ / Terminal growth →</t>
  </si>
  <si>
    <t xml:space="preserve">SENSITIVITY GRID 2 — IMPLIED SHARE PRICE: WACC × EXIT EV/EBITDA MULTIPLE</t>
  </si>
  <si>
    <t xml:space="preserve">Holds the actual FY26E–FY32E unlevered FCF stream fixed and re-discounts at each WACC / exit-multiple pair (Exit Multiple TV off FY32E EBITDA). Center cell = base case.</t>
  </si>
  <si>
    <t xml:space="preserve">WACC ↓ / Exit EV/EBITDA →</t>
  </si>
  <si>
    <t xml:space="preserve">SENSITIVITY GRID 3 — IMPLIED SHARE PRICE: REVENUE GROWTH Δ × EBITDA MARGIN Δ</t>
  </si>
  <si>
    <t xml:space="preserve">Flexes revenue growth and EBITDA margin around the base case per the disclosed methodology above (WACC and terminal growth held at base). Center cell should approx. equal the Blended base-case implied price (small variance from the closed-form capex/NWC scaling approximation).</t>
  </si>
  <si>
    <t xml:space="preserve">Rev. growth Δ ↓ / EBITDA margin Δ →</t>
  </si>
  <si>
    <t xml:space="preserve">SENSITIVITY GRID 4 — IMPLIED SHARE PRICE: REVENUE GROWTH Δ × WACC</t>
  </si>
  <si>
    <t xml:space="preserve">Flexes revenue growth around the base case (EBITDA margin held at base) and re-discounts at each WACC. Terminal growth held at base.</t>
  </si>
  <si>
    <t xml:space="preserve">Rev. growth Δ ↓ / WACC →</t>
  </si>
  <si>
    <t xml:space="preserve">Flexing WACC ±1pt or terminal growth ±50bp moves the implied price by roughly 15-25%; flexing revenue growth ±2pt/yr compounded over 7 years moves it considerably more — illustrating that the single largest driver of this DCF's uncertainty is the multi-year top-line trajectory (Revenue Build), not the discount-rate/terminal-value mechanics alone.</t>
  </si>
  <si>
    <t xml:space="preserve">Football Field — Valuation Summary</t>
  </si>
  <si>
    <t xml:space="preserve">US$ per share  |  Implied value ranges across methodologies vs. TGT current price ($159.00, 8/19/2026 close)</t>
  </si>
  <si>
    <t xml:space="preserve">Method</t>
  </si>
  <si>
    <t xml:space="preserve">Low</t>
  </si>
  <si>
    <t xml:space="preserve">High</t>
  </si>
  <si>
    <t xml:space="preserve">Range (High − Low)</t>
  </si>
  <si>
    <t xml:space="preserve">52-week trading range</t>
  </si>
  <si>
    <t xml:space="preserve">DCF-implied range (perpetuity-growth to exit-multiple)</t>
  </si>
  <si>
    <t xml:space="preserve">Trading comps-implied range (core peer set: TJX/KSS/ROST)</t>
  </si>
  <si>
    <t xml:space="preserve">Analyst consensus price-target range (38 analysts, Hold)</t>
  </si>
  <si>
    <t xml:space="preserve">METHOD NOTES</t>
  </si>
  <si>
    <t xml:space="preserve">52-week trading range: high end $161.98 (intraday 52-week high, 8/19/2026; stockanalysis.com). TGT closed that session at $159.00, +4.28% on the day.</t>
  </si>
  <si>
    <t xml:space="preserve">DCF-implied range: pulled LIVE from the DCF tab's lease-adjusted equity bridge (perpetuity-growth and exit-multiple methods) — recalculates automatically if any DCF assumption or scenario (Assumptions!B5) changes.</t>
  </si>
  <si>
    <t xml:space="preserve">Trading comps-implied range ($210-$350) sits well ABOVE both the DCF and the current price — a direct consequence of TGT trading at a real ~9.2x EV/EBITDA discount to TJX (~19.8x) and ROST (~22.2x) rather than a modeling error (verified by direct inspection of the underlying multiples on the Trading Comps tab). Treat this as a reminder that TGT's closest same-sector peers price turnaround/format-comparability at a premium TGT itself has not yet earned — NOT as a standalone fair-value estimate; the DCF is the more defensible anchor here given this peer set's heterogeneity.</t>
  </si>
  <si>
    <t xml:space="preserve">Analyst consensus price-target range: stockanalysis.com analyst forecast page (S&amp;P Global-polled), 38 analysts. Average target $144.40, median $147.50, consensus rating 'Hold'. Several individual sell-side price-target hikes (Gordon Haskett to $170 Buy, Wolfe Research upgraded to Outperform, Jefferies to $161, Wells Fargo reiterated Overweight at $165) may not be fully reflected in this aggregator snapshot yet — treat the consensus figures here as a lower bound on where Street targets are likely to settle over the following days.</t>
  </si>
  <si>
    <t xml:space="preserve">Current share price: shown as a narrow ±$1.00 band purely so it renders as a visible marker on the stacked-bar chart below (a zero-width bar segment does not draw) — this is a single point ($159.00), not a genuine range.</t>
  </si>
  <si>
    <t xml:space="preserve">READING THIS FOOTBALL FIELD</t>
  </si>
  <si>
    <t xml:space="preserve">The DCF range (Base-case scenario) brackets a level BELOW the current price — see the DCF tab's implied-price row for the exact figures under the active scenario. Flip Assumptions!B5 to 1 (Bull) or 3 (Bear) to see the DCF range shift. The Street's own consensus midpoint (~$144.40-$147.50) sits noticeably BELOW the current $159.00 price — several individual targets have been hiked more recently than this aggregator snapshot (see method note above). The comps range is shown for completeness but is the least reliable single-point anchor here given the peer set's business-model heterogeneity (see flag above) and reflects peer pricing as of Aug 17, 2026, a few days apart from TGT's own Aug 19, 2026 figures used elsewhere on this tab.</t>
  </si>
  <si>
    <t xml:space="preserve">Chart: invisible "Low" base series stacked with a visible "Range (High − Low)" series — the standard football-field technique for showing ranges on a horizontal bar chart. If the chart does not render in your version of Excel/Sheets, the table above contains the same data.</t>
  </si>
  <si>
    <t xml:space="preserve">Model Checks</t>
  </si>
  <si>
    <t xml:space="preserve">Every check below must read TRUE (or 0) in every year for the model to be considered internally consistent. Tolerance: $0.01mm (floating-point rounding only).</t>
  </si>
  <si>
    <t xml:space="preserve">CHECK 1 — BALANCE SHEET: Total Assets = Total Liabilities &amp; Equity</t>
  </si>
  <si>
    <t xml:space="preserve">Balance sheet balances (TRUE required)</t>
  </si>
  <si>
    <t xml:space="preserve">  (memo: raw difference, $mm)</t>
  </si>
  <si>
    <t xml:space="preserve">CHECK 2 — CASH: Balance Sheet cash = Cash Flow Statement ending cash</t>
  </si>
  <si>
    <t xml:space="preserve">Cash ties (TRUE required)</t>
  </si>
  <si>
    <t xml:space="preserve">CHECK 3 — CASH FLOW STATEMENT: Net change in cash = ending cash − beginning cash, independently  (forecast years only — historical ending cash is Target's own disclosed actual, held fixed rather than re-derived through the model's build, so it is not expected to tie to the modeled CFO/CFI/CFF to the penny; see the Cash Flow Statement tab's note)</t>
  </si>
  <si>
    <t xml:space="preserve">CFS internally consistent (TRUE required)</t>
  </si>
  <si>
    <t xml:space="preserve">CHECK 4 — DEBT: Balance Sheet current + noncurrent debt = Debt &amp; Interest Schedule total</t>
  </si>
  <si>
    <t xml:space="preserve">Debt ties (TRUE required)</t>
  </si>
  <si>
    <t xml:space="preserve">CHECK 5 — PP&amp;E: Balance Sheet net PP&amp;E = PP&amp;E/Capex Schedule ending balance</t>
  </si>
  <si>
    <t xml:space="preserve">PP&amp;E ties (TRUE required)</t>
  </si>
  <si>
    <t xml:space="preserve">CHECK 6 — RETAINED EARNINGS: rollforward (prior RE + NI + Dividends + Buybacks, independently recombined) reproduces the Balance Sheet's ending RE</t>
  </si>
  <si>
    <t xml:space="preserve">Retained earnings rollforward ties (TRUE required)</t>
  </si>
  <si>
    <t xml:space="preserve">CHECK 7 — SOURCES &amp; USES: CFO + CFI + CFF = Net change in cash (no unexplained cash creation/destruction)</t>
  </si>
  <si>
    <t xml:space="preserve">Sources = Uses (TRUE required)</t>
  </si>
  <si>
    <t xml:space="preserve">SUMMARY</t>
  </si>
  <si>
    <t xml:space="preserve">ALL CHECKS PASS (every check TRUE across every applicable year)</t>
  </si>
  <si>
    <t xml:space="preserve">If this reads FALSE, at least one individual check above failed in at least one year — scan each check row to isolate which one and which year, then trace back to the source schedule tab.</t>
  </si>
</sst>
</file>

<file path=xl/styles.xml><?xml version="1.0" encoding="utf-8"?>
<styleSheet xmlns="http://schemas.openxmlformats.org/spreadsheetml/2006/main">
  <numFmts count="20">
    <numFmt numFmtId="164" formatCode="General"/>
    <numFmt numFmtId="165" formatCode="\$#,##0.00;&quot;($&quot;#,##0.00\);\-"/>
    <numFmt numFmtId="166" formatCode="@"/>
    <numFmt numFmtId="167" formatCode="\$#,##0;&quot;($&quot;#,##0\);\-"/>
    <numFmt numFmtId="168" formatCode="#,##0.0"/>
    <numFmt numFmtId="169" formatCode="\$0.00"/>
    <numFmt numFmtId="170" formatCode="0.0%;\(0.0%\);\-"/>
    <numFmt numFmtId="171" formatCode="0.0\x"/>
    <numFmt numFmtId="172" formatCode="0.00"/>
    <numFmt numFmtId="173" formatCode="0.00%;\(0.00%\);\-"/>
    <numFmt numFmtId="174" formatCode="\$0.0&quot;bn&quot;"/>
    <numFmt numFmtId="175" formatCode="#,##0;\(#,##0\);\-"/>
    <numFmt numFmtId="176" formatCode="0"/>
    <numFmt numFmtId="177" formatCode="\$#,##0.0;&quot;($&quot;#,##0.0\);\-"/>
    <numFmt numFmtId="178" formatCode="0.0&quot; bps&quot;;\(0.0&quot;) bps&quot;;\-"/>
    <numFmt numFmtId="179" formatCode="0.00\x"/>
    <numFmt numFmtId="180" formatCode="0.0&quot; days&quot;"/>
    <numFmt numFmtId="181" formatCode="0.000"/>
    <numFmt numFmtId="182" formatCode="\+0.0%;\-0.0%;0.0%"/>
    <numFmt numFmtId="183" formatCode="General"/>
  </numFmts>
  <fonts count="25">
    <font>
      <sz val="11"/>
      <color theme="1"/>
      <name val="Calibri"/>
      <family val="2"/>
      <charset val="1"/>
    </font>
    <font>
      <sz val="10"/>
      <name val="Arial"/>
      <family val="0"/>
    </font>
    <font>
      <sz val="10"/>
      <name val="Arial"/>
      <family val="0"/>
    </font>
    <font>
      <sz val="10"/>
      <name val="Arial"/>
      <family val="0"/>
    </font>
    <font>
      <b val="true"/>
      <sz val="24"/>
      <color rgb="FFB91C1C"/>
      <name val="Arial"/>
      <family val="0"/>
      <charset val="1"/>
    </font>
    <font>
      <sz val="13"/>
      <color rgb="FF374151"/>
      <name val="Arial"/>
      <family val="0"/>
      <charset val="1"/>
    </font>
    <font>
      <i val="true"/>
      <sz val="11"/>
      <color rgb="FF6B7280"/>
      <name val="Arial"/>
      <family val="0"/>
      <charset val="1"/>
    </font>
    <font>
      <sz val="10"/>
      <color rgb="FF6B7280"/>
      <name val="Arial"/>
      <family val="0"/>
      <charset val="1"/>
    </font>
    <font>
      <b val="true"/>
      <sz val="11"/>
      <color rgb="FFFFFFFF"/>
      <name val="Arial"/>
      <family val="0"/>
      <charset val="1"/>
    </font>
    <font>
      <sz val="10"/>
      <color rgb="FF000000"/>
      <name val="Arial"/>
      <family val="0"/>
      <charset val="1"/>
    </font>
    <font>
      <b val="true"/>
      <sz val="10"/>
      <color rgb="FF008000"/>
      <name val="Arial"/>
      <family val="0"/>
      <charset val="1"/>
    </font>
    <font>
      <sz val="10"/>
      <color rgb="FF0000FF"/>
      <name val="Arial"/>
      <family val="0"/>
      <charset val="1"/>
    </font>
    <font>
      <i val="true"/>
      <sz val="8"/>
      <color rgb="FF6B7280"/>
      <name val="Arial"/>
      <family val="0"/>
      <charset val="1"/>
    </font>
    <font>
      <sz val="10"/>
      <color rgb="FF1D4ED8"/>
      <name val="Arial"/>
      <family val="0"/>
      <charset val="1"/>
    </font>
    <font>
      <i val="true"/>
      <sz val="9"/>
      <color rgb="FF4B5563"/>
      <name val="Arial"/>
      <family val="0"/>
      <charset val="1"/>
    </font>
    <font>
      <b val="true"/>
      <sz val="16"/>
      <color rgb="FF1F2937"/>
      <name val="Arial"/>
      <family val="0"/>
      <charset val="1"/>
    </font>
    <font>
      <i val="true"/>
      <sz val="11"/>
      <color rgb="FF4B5563"/>
      <name val="Arial"/>
      <family val="0"/>
      <charset val="1"/>
    </font>
    <font>
      <sz val="10"/>
      <color rgb="FF008000"/>
      <name val="Arial"/>
      <family val="0"/>
      <charset val="1"/>
    </font>
    <font>
      <b val="true"/>
      <sz val="10"/>
      <color rgb="FF000000"/>
      <name val="Arial"/>
      <family val="0"/>
      <charset val="1"/>
    </font>
    <font>
      <i val="true"/>
      <sz val="9"/>
      <color rgb="FF374151"/>
      <name val="Arial"/>
      <family val="0"/>
      <charset val="1"/>
    </font>
    <font>
      <b val="true"/>
      <sz val="10"/>
      <color rgb="FF0000FF"/>
      <name val="Arial"/>
      <family val="0"/>
      <charset val="1"/>
    </font>
    <font>
      <b val="true"/>
      <i val="true"/>
      <sz val="9"/>
      <color rgb="FFB91C1C"/>
      <name val="Arial"/>
      <family val="0"/>
      <charset val="1"/>
    </font>
    <font>
      <b val="true"/>
      <sz val="18"/>
      <color rgb="FF000000"/>
      <name val="Calibri"/>
      <family val="2"/>
    </font>
    <font>
      <sz val="10"/>
      <color rgb="FF000000"/>
      <name val="Calibri"/>
      <family val="2"/>
    </font>
    <font>
      <b val="true"/>
      <sz val="10"/>
      <color rgb="FF000000"/>
      <name val="Calibri"/>
      <family val="2"/>
    </font>
  </fonts>
  <fills count="7">
    <fill>
      <patternFill patternType="none"/>
    </fill>
    <fill>
      <patternFill patternType="gray125"/>
    </fill>
    <fill>
      <patternFill patternType="solid">
        <fgColor rgb="FFB91C1C"/>
        <bgColor rgb="FF993366"/>
      </patternFill>
    </fill>
    <fill>
      <patternFill patternType="solid">
        <fgColor rgb="FF1F2937"/>
        <bgColor rgb="FF374151"/>
      </patternFill>
    </fill>
    <fill>
      <patternFill patternType="solid">
        <fgColor rgb="FFD1FAE5"/>
        <bgColor rgb="FFCCFFFF"/>
      </patternFill>
    </fill>
    <fill>
      <patternFill patternType="solid">
        <fgColor rgb="FFFFFF00"/>
        <bgColor rgb="FFFFFF00"/>
      </patternFill>
    </fill>
    <fill>
      <patternFill patternType="solid">
        <fgColor rgb="FFF3F4F6"/>
        <bgColor rgb="FFFFFFFF"/>
      </patternFill>
    </fill>
  </fills>
  <borders count="2">
    <border diagonalUp="false" diagonalDown="false">
      <left/>
      <right/>
      <top/>
      <bottom/>
      <diagonal/>
    </border>
    <border diagonalUp="false" diagonalDown="false">
      <left/>
      <right/>
      <top style="thin">
        <color rgb="FFD1D5DB"/>
      </top>
      <bottom style="thin">
        <color rgb="FFD1D5D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8" fontId="10" fillId="0" borderId="0" xfId="0" applyFont="true" applyBorder="false" applyAlignment="false" applyProtection="false">
      <alignment horizontal="general" vertical="bottom" textRotation="0" wrapText="false" indent="0" shrinkToFit="false"/>
      <protection locked="true" hidden="false"/>
    </xf>
    <xf numFmtId="169" fontId="11" fillId="0" borderId="0" xfId="0" applyFont="true" applyBorder="false" applyAlignment="false" applyProtection="false">
      <alignment horizontal="general" vertical="bottom" textRotation="0" wrapText="false" indent="0" shrinkToFit="false"/>
      <protection locked="true" hidden="false"/>
    </xf>
    <xf numFmtId="170" fontId="11" fillId="0" borderId="0" xfId="0" applyFont="true" applyBorder="false" applyAlignment="false" applyProtection="false">
      <alignment horizontal="general" vertical="bottom" textRotation="0" wrapText="false" indent="0" shrinkToFit="false"/>
      <protection locked="true" hidden="false"/>
    </xf>
    <xf numFmtId="171" fontId="10" fillId="0" borderId="0" xfId="0" applyFont="true" applyBorder="false" applyAlignment="false" applyProtection="false">
      <alignment horizontal="general" vertical="bottom" textRotation="0" wrapText="false" indent="0" shrinkToFit="false"/>
      <protection locked="true" hidden="false"/>
    </xf>
    <xf numFmtId="172" fontId="10" fillId="0" borderId="0" xfId="0" applyFont="true" applyBorder="false" applyAlignment="false" applyProtection="false">
      <alignment horizontal="general" vertical="bottom" textRotation="0" wrapText="false" indent="0" shrinkToFit="false"/>
      <protection locked="true" hidden="false"/>
    </xf>
    <xf numFmtId="173" fontId="10"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16"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5" fontId="17" fillId="0" borderId="0" xfId="0" applyFont="true" applyBorder="false" applyAlignment="false" applyProtection="false">
      <alignment horizontal="general" vertical="bottom" textRotation="0" wrapText="false" indent="0" shrinkToFit="false"/>
      <protection locked="true" hidden="false"/>
    </xf>
    <xf numFmtId="167" fontId="17" fillId="0" borderId="0" xfId="0" applyFont="true" applyBorder="false" applyAlignment="false" applyProtection="false">
      <alignment horizontal="general" vertical="bottom" textRotation="0" wrapText="false" indent="0" shrinkToFit="false"/>
      <protection locked="true" hidden="false"/>
    </xf>
    <xf numFmtId="170" fontId="17" fillId="0" borderId="0" xfId="0" applyFont="true" applyBorder="false" applyAlignment="false" applyProtection="false">
      <alignment horizontal="general" vertical="bottom" textRotation="0" wrapText="false" indent="0" shrinkToFit="false"/>
      <protection locked="true" hidden="false"/>
    </xf>
    <xf numFmtId="173" fontId="17" fillId="0" borderId="0" xfId="0" applyFont="true" applyBorder="false" applyAlignment="false" applyProtection="false">
      <alignment horizontal="general" vertical="bottom" textRotation="0" wrapText="false" indent="0" shrinkToFit="false"/>
      <protection locked="true" hidden="false"/>
    </xf>
    <xf numFmtId="171" fontId="17" fillId="0" borderId="0" xfId="0" applyFont="true" applyBorder="false" applyAlignment="false" applyProtection="false">
      <alignment horizontal="general" vertical="bottom" textRotation="0" wrapText="false" indent="0" shrinkToFit="false"/>
      <protection locked="true" hidden="false"/>
    </xf>
    <xf numFmtId="174" fontId="11" fillId="0" borderId="0" xfId="0" applyFont="tru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8" fillId="3" borderId="0" xfId="0" applyFont="true" applyBorder="false" applyAlignment="true" applyProtection="false">
      <alignment horizontal="center" vertical="bottom" textRotation="0" wrapText="true" indent="0" shrinkToFit="false"/>
      <protection locked="true" hidden="false"/>
    </xf>
    <xf numFmtId="164" fontId="18" fillId="0" borderId="0" xfId="0" applyFont="true" applyBorder="false" applyAlignment="true" applyProtection="false">
      <alignment horizontal="center" vertical="top" textRotation="0" wrapText="false" indent="0" shrinkToFit="false"/>
      <protection locked="true" hidden="false"/>
    </xf>
    <xf numFmtId="164" fontId="18" fillId="0" borderId="0" xfId="0" applyFont="true" applyBorder="false" applyAlignment="true" applyProtection="false">
      <alignment horizontal="general" vertical="top" textRotation="0" wrapText="true" indent="0" shrinkToFit="false"/>
      <protection locked="true" hidden="false"/>
    </xf>
    <xf numFmtId="164" fontId="19"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9" fillId="0" borderId="0" xfId="0" applyFont="true" applyBorder="false" applyAlignment="true" applyProtection="false">
      <alignment horizontal="center"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70" fontId="19" fillId="0" borderId="0" xfId="0" applyFont="true" applyBorder="false" applyAlignment="false" applyProtection="false">
      <alignment horizontal="general" vertical="bottom" textRotation="0" wrapText="false" indent="0" shrinkToFit="false"/>
      <protection locked="true" hidden="false"/>
    </xf>
    <xf numFmtId="167" fontId="10" fillId="4" borderId="0" xfId="0" applyFont="true" applyBorder="false" applyAlignment="false" applyProtection="false">
      <alignment horizontal="general" vertical="bottom" textRotation="0" wrapText="false" indent="0" shrinkToFit="false"/>
      <protection locked="true" hidden="false"/>
    </xf>
    <xf numFmtId="169" fontId="10" fillId="0" borderId="0" xfId="0" applyFont="true" applyBorder="false" applyAlignment="false" applyProtection="false">
      <alignment horizontal="general" vertical="bottom" textRotation="0" wrapText="false" indent="0" shrinkToFit="false"/>
      <protection locked="true" hidden="false"/>
    </xf>
    <xf numFmtId="175" fontId="17" fillId="0" borderId="0" xfId="0" applyFont="true" applyBorder="false" applyAlignment="false" applyProtection="false">
      <alignment horizontal="general" vertical="bottom" textRotation="0" wrapText="false" indent="0" shrinkToFit="false"/>
      <protection locked="true" hidden="false"/>
    </xf>
    <xf numFmtId="170" fontId="10" fillId="0" borderId="0" xfId="0" applyFont="true" applyBorder="false" applyAlignment="false" applyProtection="false">
      <alignment horizontal="general" vertical="bottom" textRotation="0" wrapText="false" indent="0" shrinkToFit="false"/>
      <protection locked="true" hidden="false"/>
    </xf>
    <xf numFmtId="167" fontId="20"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true" applyAlignment="false" applyProtection="false">
      <alignment horizontal="general" vertical="bottom" textRotation="0" wrapText="false" indent="0" shrinkToFit="false"/>
      <protection locked="true" hidden="false"/>
    </xf>
    <xf numFmtId="167" fontId="11" fillId="0" borderId="0" xfId="0" applyFont="true" applyBorder="false" applyAlignment="false" applyProtection="false">
      <alignment horizontal="general" vertical="bottom" textRotation="0" wrapText="false" indent="0" shrinkToFit="false"/>
      <protection locked="true" hidden="false"/>
    </xf>
    <xf numFmtId="167" fontId="18" fillId="4" borderId="0" xfId="0" applyFont="true" applyBorder="false" applyAlignment="false" applyProtection="false">
      <alignment horizontal="general" vertical="bottom" textRotation="0" wrapText="false" indent="0" shrinkToFit="false"/>
      <protection locked="true" hidden="false"/>
    </xf>
    <xf numFmtId="171" fontId="19" fillId="0" borderId="0" xfId="0" applyFont="true" applyBorder="false" applyAlignment="false" applyProtection="false">
      <alignment horizontal="general" vertical="bottom" textRotation="0" wrapText="false" indent="0" shrinkToFit="false"/>
      <protection locked="true" hidden="false"/>
    </xf>
    <xf numFmtId="176" fontId="20" fillId="5"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70" fontId="11" fillId="5" borderId="0" xfId="0" applyFont="true" applyBorder="false" applyAlignment="false" applyProtection="false">
      <alignment horizontal="general" vertical="bottom" textRotation="0" wrapText="false" indent="0" shrinkToFit="false"/>
      <protection locked="true" hidden="false"/>
    </xf>
    <xf numFmtId="173" fontId="11" fillId="5" borderId="0" xfId="0" applyFont="true" applyBorder="false" applyAlignment="false" applyProtection="false">
      <alignment horizontal="general" vertical="bottom" textRotation="0" wrapText="false" indent="0" shrinkToFit="false"/>
      <protection locked="true" hidden="false"/>
    </xf>
    <xf numFmtId="172" fontId="11" fillId="5" borderId="0" xfId="0" applyFont="true" applyBorder="false" applyAlignment="false" applyProtection="false">
      <alignment horizontal="general" vertical="bottom" textRotation="0" wrapText="false" indent="0" shrinkToFit="false"/>
      <protection locked="true" hidden="false"/>
    </xf>
    <xf numFmtId="167" fontId="11" fillId="5" borderId="0" xfId="0" applyFont="true" applyBorder="false" applyAlignment="false" applyProtection="false">
      <alignment horizontal="general" vertical="bottom" textRotation="0" wrapText="false" indent="0" shrinkToFit="false"/>
      <protection locked="true" hidden="false"/>
    </xf>
    <xf numFmtId="172" fontId="17" fillId="0" borderId="0" xfId="0" applyFont="true" applyBorder="false" applyAlignment="false" applyProtection="false">
      <alignment horizontal="general" vertical="bottom" textRotation="0" wrapText="false" indent="0" shrinkToFit="false"/>
      <protection locked="true" hidden="false"/>
    </xf>
    <xf numFmtId="172" fontId="9" fillId="0" borderId="0" xfId="0" applyFont="true" applyBorder="false" applyAlignment="false" applyProtection="false">
      <alignment horizontal="general" vertical="bottom" textRotation="0" wrapText="false" indent="0" shrinkToFit="false"/>
      <protection locked="true" hidden="false"/>
    </xf>
    <xf numFmtId="172" fontId="18" fillId="0" borderId="0" xfId="0" applyFont="true" applyBorder="false" applyAlignment="false" applyProtection="false">
      <alignment horizontal="general" vertical="bottom" textRotation="0" wrapText="false" indent="0" shrinkToFit="false"/>
      <protection locked="true" hidden="false"/>
    </xf>
    <xf numFmtId="171" fontId="11" fillId="5" borderId="0" xfId="0" applyFont="true" applyBorder="false" applyAlignment="false" applyProtection="false">
      <alignment horizontal="general" vertical="bottom" textRotation="0" wrapText="false" indent="0" shrinkToFit="false"/>
      <protection locked="true" hidden="false"/>
    </xf>
    <xf numFmtId="175" fontId="11" fillId="0" borderId="0" xfId="0" applyFont="true" applyBorder="false" applyAlignment="false" applyProtection="false">
      <alignment horizontal="general" vertical="bottom" textRotation="0" wrapText="false" indent="0" shrinkToFit="false"/>
      <protection locked="true" hidden="false"/>
    </xf>
    <xf numFmtId="175" fontId="9" fillId="0" borderId="0" xfId="0" applyFont="true" applyBorder="false" applyAlignment="false" applyProtection="false">
      <alignment horizontal="general" vertical="bottom" textRotation="0" wrapText="false" indent="0" shrinkToFit="false"/>
      <protection locked="true" hidden="false"/>
    </xf>
    <xf numFmtId="175" fontId="18" fillId="0" borderId="0" xfId="0" applyFont="true" applyBorder="false" applyAlignment="false" applyProtection="false">
      <alignment horizontal="general" vertical="bottom" textRotation="0" wrapText="false" indent="0" shrinkToFit="false"/>
      <protection locked="true" hidden="false"/>
    </xf>
    <xf numFmtId="175" fontId="10" fillId="0" borderId="0" xfId="0" applyFont="true" applyBorder="false" applyAlignment="false" applyProtection="false">
      <alignment horizontal="general" vertical="bottom" textRotation="0" wrapText="false" indent="0" shrinkToFit="false"/>
      <protection locked="true" hidden="false"/>
    </xf>
    <xf numFmtId="175" fontId="19" fillId="0" borderId="0" xfId="0" applyFont="true" applyBorder="false" applyAlignment="false" applyProtection="false">
      <alignment horizontal="general" vertical="bottom" textRotation="0" wrapText="false" indent="0" shrinkToFit="false"/>
      <protection locked="true" hidden="false"/>
    </xf>
    <xf numFmtId="175" fontId="20" fillId="0" borderId="0" xfId="0" applyFont="true" applyBorder="false" applyAlignment="false" applyProtection="false">
      <alignment horizontal="general" vertical="bottom" textRotation="0" wrapText="false" indent="0" shrinkToFit="false"/>
      <protection locked="true" hidden="false"/>
    </xf>
    <xf numFmtId="177" fontId="11" fillId="0" borderId="0" xfId="0" applyFont="true" applyBorder="false" applyAlignment="false" applyProtection="false">
      <alignment horizontal="general" vertical="bottom" textRotation="0" wrapText="false" indent="0" shrinkToFit="false"/>
      <protection locked="true" hidden="false"/>
    </xf>
    <xf numFmtId="177" fontId="9" fillId="0" borderId="0" xfId="0" applyFont="true" applyBorder="false" applyAlignment="false" applyProtection="false">
      <alignment horizontal="general" vertical="bottom" textRotation="0" wrapText="false" indent="0" shrinkToFit="false"/>
      <protection locked="true" hidden="false"/>
    </xf>
    <xf numFmtId="167" fontId="18" fillId="0" borderId="0" xfId="0" applyFont="true" applyBorder="false" applyAlignment="false" applyProtection="false">
      <alignment horizontal="general" vertical="bottom" textRotation="0" wrapText="false" indent="0" shrinkToFit="false"/>
      <protection locked="true" hidden="false"/>
    </xf>
    <xf numFmtId="173" fontId="18" fillId="0" borderId="0" xfId="0" applyFont="true" applyBorder="false" applyAlignment="false" applyProtection="false">
      <alignment horizontal="general" vertical="bottom" textRotation="0" wrapText="false" indent="0" shrinkToFit="false"/>
      <protection locked="true" hidden="false"/>
    </xf>
    <xf numFmtId="170" fontId="18" fillId="0" borderId="0" xfId="0" applyFont="true" applyBorder="false" applyAlignment="false" applyProtection="false">
      <alignment horizontal="general" vertical="bottom" textRotation="0" wrapText="false" indent="0" shrinkToFit="false"/>
      <protection locked="true" hidden="false"/>
    </xf>
    <xf numFmtId="170" fontId="18" fillId="4"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7" fontId="19" fillId="0" borderId="0" xfId="0" applyFont="true" applyBorder="false" applyAlignment="false" applyProtection="false">
      <alignment horizontal="general" vertical="bottom" textRotation="0" wrapText="false" indent="0" shrinkToFit="false"/>
      <protection locked="true" hidden="false"/>
    </xf>
    <xf numFmtId="170" fontId="20" fillId="0" borderId="0" xfId="0" applyFont="true" applyBorder="false" applyAlignment="false" applyProtection="false">
      <alignment horizontal="general" vertical="bottom" textRotation="0" wrapText="false" indent="0" shrinkToFit="false"/>
      <protection locked="true" hidden="false"/>
    </xf>
    <xf numFmtId="165" fontId="20" fillId="0" borderId="0" xfId="0" applyFont="true" applyBorder="false" applyAlignment="false" applyProtection="false">
      <alignment horizontal="general" vertical="bottom" textRotation="0" wrapText="false" indent="0" shrinkToFit="false"/>
      <protection locked="true" hidden="false"/>
    </xf>
    <xf numFmtId="165" fontId="19" fillId="0" borderId="0" xfId="0" applyFont="true" applyBorder="false" applyAlignment="false" applyProtection="false">
      <alignment horizontal="general" vertical="bottom" textRotation="0" wrapText="false" indent="0" shrinkToFit="false"/>
      <protection locked="true" hidden="false"/>
    </xf>
    <xf numFmtId="178" fontId="11" fillId="0" borderId="0" xfId="0" applyFont="true" applyBorder="false" applyAlignment="false" applyProtection="false">
      <alignment horizontal="general" vertical="bottom" textRotation="0" wrapText="false" indent="0" shrinkToFit="false"/>
      <protection locked="true" hidden="false"/>
    </xf>
    <xf numFmtId="178" fontId="10" fillId="0" borderId="0" xfId="0" applyFont="true" applyBorder="false" applyAlignment="false" applyProtection="false">
      <alignment horizontal="general" vertical="bottom" textRotation="0" wrapText="false" indent="0" shrinkToFit="false"/>
      <protection locked="true" hidden="false"/>
    </xf>
    <xf numFmtId="178" fontId="18" fillId="0" borderId="0" xfId="0" applyFont="true" applyBorder="false" applyAlignment="false" applyProtection="false">
      <alignment horizontal="general" vertical="bottom" textRotation="0" wrapText="false" indent="0" shrinkToFit="false"/>
      <protection locked="true" hidden="false"/>
    </xf>
    <xf numFmtId="173" fontId="18" fillId="4" borderId="0" xfId="0" applyFont="true" applyBorder="false" applyAlignment="false" applyProtection="false">
      <alignment horizontal="general" vertical="bottom" textRotation="0" wrapText="false" indent="0" shrinkToFit="false"/>
      <protection locked="true" hidden="false"/>
    </xf>
    <xf numFmtId="173" fontId="9" fillId="0" borderId="0" xfId="0" applyFont="true" applyBorder="false" applyAlignment="false" applyProtection="false">
      <alignment horizontal="general" vertical="bottom" textRotation="0" wrapText="false" indent="0" shrinkToFit="false"/>
      <protection locked="true" hidden="false"/>
    </xf>
    <xf numFmtId="179" fontId="11" fillId="5" borderId="0" xfId="0" applyFont="true" applyBorder="false" applyAlignment="false" applyProtection="false">
      <alignment horizontal="general" vertical="bottom" textRotation="0" wrapText="false" indent="0" shrinkToFit="false"/>
      <protection locked="true" hidden="false"/>
    </xf>
    <xf numFmtId="180" fontId="19" fillId="0" borderId="0" xfId="0" applyFont="true" applyBorder="false" applyAlignment="false" applyProtection="false">
      <alignment horizontal="general" vertical="bottom" textRotation="0" wrapText="false" indent="0" shrinkToFit="false"/>
      <protection locked="true" hidden="false"/>
    </xf>
    <xf numFmtId="180" fontId="11" fillId="0" borderId="0" xfId="0" applyFont="true" applyBorder="false" applyAlignment="false" applyProtection="false">
      <alignment horizontal="general" vertical="bottom" textRotation="0" wrapText="false" indent="0" shrinkToFit="false"/>
      <protection locked="true" hidden="false"/>
    </xf>
    <xf numFmtId="180" fontId="10" fillId="0" borderId="0" xfId="0" applyFont="true" applyBorder="false" applyAlignment="false" applyProtection="false">
      <alignment horizontal="general" vertical="bottom" textRotation="0" wrapText="false" indent="0" shrinkToFit="false"/>
      <protection locked="true" hidden="false"/>
    </xf>
    <xf numFmtId="173" fontId="19" fillId="0" borderId="0" xfId="0" applyFont="true" applyBorder="false" applyAlignment="false" applyProtection="false">
      <alignment horizontal="general" vertical="bottom" textRotation="0" wrapText="false" indent="0" shrinkToFit="false"/>
      <protection locked="true" hidden="false"/>
    </xf>
    <xf numFmtId="167" fontId="20" fillId="4" borderId="0" xfId="0" applyFont="true" applyBorder="false" applyAlignment="false" applyProtection="false">
      <alignment horizontal="general" vertical="bottom" textRotation="0" wrapText="false" indent="0" shrinkToFit="false"/>
      <protection locked="true" hidden="false"/>
    </xf>
    <xf numFmtId="169" fontId="11" fillId="5" borderId="0" xfId="0" applyFont="true" applyBorder="false" applyAlignment="false" applyProtection="false">
      <alignment horizontal="general" vertical="bottom" textRotation="0" wrapText="false" indent="0" shrinkToFit="false"/>
      <protection locked="true" hidden="false"/>
    </xf>
    <xf numFmtId="168" fontId="9" fillId="0" borderId="0" xfId="0" applyFont="true" applyBorder="false" applyAlignment="false" applyProtection="false">
      <alignment horizontal="general" vertical="bottom" textRotation="0" wrapText="false" indent="0" shrinkToFit="false"/>
      <protection locked="true" hidden="false"/>
    </xf>
    <xf numFmtId="168" fontId="11" fillId="0" borderId="0" xfId="0" applyFont="true" applyBorder="false" applyAlignment="false" applyProtection="false">
      <alignment horizontal="general" vertical="bottom" textRotation="0" wrapText="false" indent="0" shrinkToFit="false"/>
      <protection locked="true" hidden="false"/>
    </xf>
    <xf numFmtId="169" fontId="17" fillId="0" borderId="0" xfId="0" applyFont="true" applyBorder="false" applyAlignment="false" applyProtection="false">
      <alignment horizontal="general" vertical="bottom" textRotation="0" wrapText="false" indent="0" shrinkToFit="false"/>
      <protection locked="true" hidden="false"/>
    </xf>
    <xf numFmtId="169" fontId="9" fillId="0" borderId="0" xfId="0" applyFont="true" applyBorder="false" applyAlignment="false" applyProtection="false">
      <alignment horizontal="general" vertical="bottom" textRotation="0" wrapText="false" indent="0" shrinkToFit="false"/>
      <protection locked="true" hidden="false"/>
    </xf>
    <xf numFmtId="168" fontId="18" fillId="0" borderId="0" xfId="0" applyFont="true" applyBorder="false" applyAlignment="false" applyProtection="false">
      <alignment horizontal="general" vertical="bottom" textRotation="0" wrapText="false" indent="0" shrinkToFit="false"/>
      <protection locked="true" hidden="false"/>
    </xf>
    <xf numFmtId="169" fontId="20" fillId="4" borderId="0" xfId="0" applyFont="true" applyBorder="false" applyAlignment="false" applyProtection="false">
      <alignment horizontal="general" vertical="bottom" textRotation="0" wrapText="false" indent="0" shrinkToFit="false"/>
      <protection locked="true" hidden="false"/>
    </xf>
    <xf numFmtId="169" fontId="18" fillId="4" borderId="0" xfId="0" applyFont="true" applyBorder="false" applyAlignment="false" applyProtection="false">
      <alignment horizontal="general" vertical="bottom" textRotation="0" wrapText="false" indent="0" shrinkToFit="false"/>
      <protection locked="true" hidden="false"/>
    </xf>
    <xf numFmtId="178" fontId="17" fillId="0" borderId="0" xfId="0" applyFont="true" applyBorder="false" applyAlignment="false" applyProtection="false">
      <alignment horizontal="general" vertical="bottom" textRotation="0" wrapText="false" indent="0" shrinkToFit="false"/>
      <protection locked="true" hidden="false"/>
    </xf>
    <xf numFmtId="180" fontId="17" fillId="0" borderId="0" xfId="0" applyFont="true" applyBorder="false" applyAlignment="false" applyProtection="false">
      <alignment horizontal="general" vertical="bottom" textRotation="0" wrapText="false" indent="0" shrinkToFit="false"/>
      <protection locked="true" hidden="false"/>
    </xf>
    <xf numFmtId="173" fontId="11"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5" fontId="18" fillId="4" borderId="0" xfId="0" applyFont="true" applyBorder="false" applyAlignment="false" applyProtection="false">
      <alignment horizontal="general" vertical="bottom" textRotation="0" wrapText="false" indent="0" shrinkToFit="false"/>
      <protection locked="true" hidden="false"/>
    </xf>
    <xf numFmtId="171" fontId="18" fillId="0" borderId="0" xfId="0" applyFont="true" applyBorder="false" applyAlignment="false" applyProtection="false">
      <alignment horizontal="general" vertical="bottom" textRotation="0" wrapText="false" indent="0" shrinkToFit="false"/>
      <protection locked="true" hidden="false"/>
    </xf>
    <xf numFmtId="171" fontId="9" fillId="0" borderId="0" xfId="0" applyFont="true" applyBorder="false" applyAlignment="false" applyProtection="false">
      <alignment horizontal="general" vertical="bottom" textRotation="0" wrapText="false" indent="0" shrinkToFit="false"/>
      <protection locked="true" hidden="false"/>
    </xf>
    <xf numFmtId="172" fontId="11" fillId="0" borderId="0" xfId="0" applyFont="true" applyBorder="false" applyAlignment="false" applyProtection="false">
      <alignment horizontal="general" vertical="bottom" textRotation="0" wrapText="false" indent="0" shrinkToFit="false"/>
      <protection locked="true" hidden="false"/>
    </xf>
    <xf numFmtId="179" fontId="9" fillId="0" borderId="0" xfId="0" applyFont="true" applyBorder="false" applyAlignment="false" applyProtection="false">
      <alignment horizontal="general" vertical="bottom" textRotation="0" wrapText="false" indent="0" shrinkToFit="false"/>
      <protection locked="true" hidden="false"/>
    </xf>
    <xf numFmtId="172" fontId="18" fillId="4" borderId="0" xfId="0" applyFont="true" applyBorder="false" applyAlignment="false" applyProtection="false">
      <alignment horizontal="general" vertical="bottom" textRotation="0" wrapText="false" indent="0" shrinkToFit="false"/>
      <protection locked="true" hidden="false"/>
    </xf>
    <xf numFmtId="170" fontId="9" fillId="0" borderId="0" xfId="0" applyFont="true" applyBorder="false" applyAlignment="false" applyProtection="false">
      <alignment horizontal="general" vertical="bottom" textRotation="0" wrapText="false" indent="0" shrinkToFit="false"/>
      <protection locked="true" hidden="false"/>
    </xf>
    <xf numFmtId="167" fontId="18" fillId="6" borderId="1" xfId="0" applyFont="true" applyBorder="true" applyAlignment="false" applyProtection="false">
      <alignment horizontal="general" vertical="bottom" textRotation="0" wrapText="false" indent="0" shrinkToFit="false"/>
      <protection locked="true" hidden="false"/>
    </xf>
    <xf numFmtId="176" fontId="9" fillId="0" borderId="0" xfId="0" applyFont="true" applyBorder="false" applyAlignment="false" applyProtection="false">
      <alignment horizontal="general" vertical="bottom" textRotation="0" wrapText="false" indent="0" shrinkToFit="false"/>
      <protection locked="true" hidden="false"/>
    </xf>
    <xf numFmtId="181" fontId="9" fillId="0" borderId="0" xfId="0" applyFont="true" applyBorder="false" applyAlignment="false" applyProtection="false">
      <alignment horizontal="general" vertical="bottom" textRotation="0" wrapText="false" indent="0" shrinkToFit="false"/>
      <protection locked="true" hidden="false"/>
    </xf>
    <xf numFmtId="168" fontId="17" fillId="0" borderId="0" xfId="0" applyFont="true" applyBorder="false" applyAlignment="false" applyProtection="false">
      <alignment horizontal="general" vertical="bottom" textRotation="0" wrapText="false" indent="0" shrinkToFit="false"/>
      <protection locked="true" hidden="false"/>
    </xf>
    <xf numFmtId="170" fontId="8" fillId="3" borderId="0" xfId="0" applyFont="true" applyBorder="false" applyAlignment="true" applyProtection="false">
      <alignment horizontal="center" vertical="bottom" textRotation="0" wrapText="false" indent="0" shrinkToFit="false"/>
      <protection locked="true" hidden="false"/>
    </xf>
    <xf numFmtId="170" fontId="8" fillId="3"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71" fontId="8" fillId="3" borderId="0" xfId="0" applyFont="true" applyBorder="false" applyAlignment="true" applyProtection="false">
      <alignment horizontal="center" vertical="bottom" textRotation="0" wrapText="false" indent="0" shrinkToFit="false"/>
      <protection locked="true" hidden="false"/>
    </xf>
    <xf numFmtId="182" fontId="8" fillId="3" borderId="0" xfId="0" applyFont="true" applyBorder="false" applyAlignment="true" applyProtection="false">
      <alignment horizontal="center" vertical="bottom" textRotation="0" wrapText="false" indent="0" shrinkToFit="false"/>
      <protection locked="true" hidden="false"/>
    </xf>
    <xf numFmtId="182" fontId="8" fillId="3" borderId="0" xfId="0" applyFont="true" applyBorder="false" applyAlignment="false" applyProtection="false">
      <alignment horizontal="general" vertical="bottom" textRotation="0" wrapText="false" indent="0" shrinkToFit="false"/>
      <protection locked="true" hidden="false"/>
    </xf>
    <xf numFmtId="183" fontId="18" fillId="4"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78787"/>
      <rgbColor rgb="FF9999FF"/>
      <rgbColor rgb="FF993366"/>
      <rgbColor rgb="FFF3F4F6"/>
      <rgbColor rgb="FFCCFFFF"/>
      <rgbColor rgb="FF660066"/>
      <rgbColor rgb="FFFF8080"/>
      <rgbColor rgb="FF1D4ED8"/>
      <rgbColor rgb="FFD1D5DB"/>
      <rgbColor rgb="FF000080"/>
      <rgbColor rgb="FFFF00FF"/>
      <rgbColor rgb="FFFFFF00"/>
      <rgbColor rgb="FF00FFFF"/>
      <rgbColor rgb="FF800080"/>
      <rgbColor rgb="FF800000"/>
      <rgbColor rgb="FF008080"/>
      <rgbColor rgb="FF0000FF"/>
      <rgbColor rgb="FF00CCFF"/>
      <rgbColor rgb="FFCCFFFF"/>
      <rgbColor rgb="FFD1FAE5"/>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003366"/>
      <rgbColor rgb="FF339966"/>
      <rgbColor rgb="FF003300"/>
      <rgbColor rgb="FF4B5563"/>
      <rgbColor rgb="FFB91C1C"/>
      <rgbColor rgb="FF993366"/>
      <rgbColor rgb="FF374151"/>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Implied Share Price by Method ($)</a:t>
            </a:r>
          </a:p>
        </c:rich>
      </c:tx>
      <c:overlay val="0"/>
      <c:spPr>
        <a:noFill/>
        <a:ln w="0">
          <a:noFill/>
        </a:ln>
      </c:spPr>
    </c:title>
    <c:autoTitleDeleted val="0"/>
    <c:plotArea>
      <c:barChart>
        <c:barDir val="bar"/>
        <c:grouping val="stacked"/>
        <c:varyColors val="0"/>
        <c:ser>
          <c:idx val="0"/>
          <c:order val="0"/>
          <c:tx>
            <c:strRef>
              <c:f>'Football Field'!B4</c:f>
              <c:strCache>
                <c:ptCount val="1"/>
                <c:pt idx="0">
                  <c:v>Low</c:v>
                </c:pt>
              </c:strCache>
            </c:strRef>
          </c:tx>
          <c:spPr>
            <a:no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'Football Field'!$A$5:$A$9</c:f>
              <c:strCache>
                <c:ptCount val="5"/>
                <c:pt idx="0">
                  <c:v>52-week trading range</c:v>
                </c:pt>
                <c:pt idx="1">
                  <c:v>DCF-implied range (perpetuity-growth to exit-multiple)</c:v>
                </c:pt>
                <c:pt idx="2">
                  <c:v>Trading comps-implied range (core peer set: TJX/KSS/ROST)</c:v>
                </c:pt>
                <c:pt idx="3">
                  <c:v>Analyst consensus price-target range (38 analysts, Hold)</c:v>
                </c:pt>
                <c:pt idx="4">
                  <c:v>Current share price (8/19/2026 close)</c:v>
                </c:pt>
              </c:strCache>
            </c:strRef>
          </c:cat>
          <c:val>
            <c:numRef>
              <c:f>'Football Field'!$B$5:$B$9</c:f>
              <c:numCache>
                <c:formatCode>\$#,##0.00;"($"#,##0.00\);\-</c:formatCode>
                <c:ptCount val="5"/>
                <c:pt idx="0">
                  <c:v>83.44</c:v>
                </c:pt>
                <c:pt idx="1">
                  <c:v>124.457492322313</c:v>
                </c:pt>
                <c:pt idx="2">
                  <c:v>241.871970802621</c:v>
                </c:pt>
                <c:pt idx="3">
                  <c:v>92</c:v>
                </c:pt>
                <c:pt idx="4">
                  <c:v>158</c:v>
                </c:pt>
              </c:numCache>
            </c:numRef>
          </c:val>
        </c:ser>
        <c:ser>
          <c:idx val="1"/>
          <c:order val="1"/>
          <c:tx>
            <c:strRef>
              <c:f>'Football Field'!D4</c:f>
              <c:strCache>
                <c:ptCount val="1"/>
                <c:pt idx="0">
                  <c:v>Range (High − Low)</c:v>
                </c:pt>
              </c:strCache>
            </c:strRef>
          </c:tx>
          <c:spPr>
            <a:solidFill>
              <a:srgbClr val="b91c1c"/>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'Football Field'!$A$5:$A$9</c:f>
              <c:strCache>
                <c:ptCount val="5"/>
                <c:pt idx="0">
                  <c:v>52-week trading range</c:v>
                </c:pt>
                <c:pt idx="1">
                  <c:v>DCF-implied range (perpetuity-growth to exit-multiple)</c:v>
                </c:pt>
                <c:pt idx="2">
                  <c:v>Trading comps-implied range (core peer set: TJX/KSS/ROST)</c:v>
                </c:pt>
                <c:pt idx="3">
                  <c:v>Analyst consensus price-target range (38 analysts, Hold)</c:v>
                </c:pt>
                <c:pt idx="4">
                  <c:v>Current share price (8/19/2026 close)</c:v>
                </c:pt>
              </c:strCache>
            </c:strRef>
          </c:cat>
          <c:val>
            <c:numRef>
              <c:f>'Football Field'!$D$5:$D$9</c:f>
              <c:numCache>
                <c:formatCode>\$#,##0.00;"($"#,##0.00\);\-</c:formatCode>
                <c:ptCount val="5"/>
                <c:pt idx="0">
                  <c:v>78.54</c:v>
                </c:pt>
                <c:pt idx="1">
                  <c:v>16.491953406641</c:v>
                </c:pt>
                <c:pt idx="2">
                  <c:v>154.567174153448</c:v>
                </c:pt>
                <c:pt idx="3">
                  <c:v>88</c:v>
                </c:pt>
                <c:pt idx="4">
                  <c:v>2</c:v>
                </c:pt>
              </c:numCache>
            </c:numRef>
          </c:val>
        </c:ser>
        <c:gapWidth val="150"/>
        <c:overlap val="100"/>
        <c:axId val="15098398"/>
        <c:axId val="9380089"/>
      </c:barChart>
      <c:catAx>
        <c:axId val="15098398"/>
        <c:scaling>
          <c:orientation val="minMax"/>
        </c:scaling>
        <c:delete val="0"/>
        <c:axPos val="b"/>
        <c:title>
          <c:tx>
            <c:rich>
              <a:bodyPr rot="-5400000"/>
              <a:lstStyle/>
              <a:p>
                <a:pPr>
                  <a:defRPr b="1" sz="1000" spc="-1" strike="noStrike">
                    <a:solidFill>
                      <a:srgbClr val="000000"/>
                    </a:solidFill>
                    <a:latin typeface="Calibri"/>
                  </a:defRPr>
                </a:pPr>
                <a:r>
                  <a:rPr b="1" sz="1000" spc="-1" strike="noStrike">
                    <a:solidFill>
                      <a:srgbClr val="000000"/>
                    </a:solidFill>
                    <a:latin typeface="Calibri"/>
                  </a:rPr>
                  <a:t>Implied share price ($)</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380089"/>
        <c:crosses val="autoZero"/>
        <c:auto val="1"/>
        <c:lblAlgn val="ctr"/>
        <c:lblOffset val="100"/>
        <c:noMultiLvlLbl val="0"/>
      </c:catAx>
      <c:valAx>
        <c:axId val="9380089"/>
        <c:scaling>
          <c:orientation val="minMax"/>
        </c:scaling>
        <c:delete val="0"/>
        <c:axPos val="l"/>
        <c:majorGridlines>
          <c:spPr>
            <a:ln w="9360">
              <a:solidFill>
                <a:srgbClr val="878787"/>
              </a:solidFill>
              <a:round/>
            </a:ln>
          </c:spPr>
        </c:majorGridlines>
        <c:numFmt formatCode="\$#,##0.00;&quot;($&quot;#,##0.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5098398"/>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19</xdr:row>
      <xdr:rowOff>39960</xdr:rowOff>
    </xdr:from>
    <xdr:to>
      <xdr:col>4</xdr:col>
      <xdr:colOff>856080</xdr:colOff>
      <xdr:row>36</xdr:row>
      <xdr:rowOff>41040</xdr:rowOff>
    </xdr:to>
    <xdr:graphicFrame>
      <xdr:nvGraphicFramePr>
        <xdr:cNvPr id="0" name="Chart 1"/>
        <xdr:cNvGraphicFramePr/>
      </xdr:nvGraphicFramePr>
      <xdr:xfrm>
        <a:off x="0" y="3924360"/>
        <a:ext cx="719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9.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2:D6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24"/>
    <col collapsed="false" customWidth="true" hidden="false" outlineLevel="0" max="5" min="5" style="0" width="4"/>
  </cols>
  <sheetData>
    <row r="2" customFormat="false" ht="29.15" hidden="false" customHeight="false" outlineLevel="0" collapsed="false">
      <c r="B2" s="1" t="s">
        <v>0</v>
      </c>
      <c r="C2" s="1"/>
      <c r="D2" s="1"/>
    </row>
    <row r="3" customFormat="false" ht="16.15" hidden="false" customHeight="false" outlineLevel="0" collapsed="false">
      <c r="B3" s="2" t="s">
        <v>1</v>
      </c>
      <c r="C3" s="2"/>
      <c r="D3" s="2"/>
    </row>
    <row r="4" customFormat="false" ht="15" hidden="false" customHeight="false" outlineLevel="0" collapsed="false">
      <c r="B4" s="3" t="s">
        <v>2</v>
      </c>
      <c r="C4" s="3"/>
      <c r="D4" s="3"/>
    </row>
    <row r="6" customFormat="false" ht="15" hidden="false" customHeight="false" outlineLevel="0" collapsed="false">
      <c r="B6" s="4" t="s">
        <v>3</v>
      </c>
      <c r="C6" s="4"/>
      <c r="D6" s="4"/>
    </row>
    <row r="7" customFormat="false" ht="15" hidden="false" customHeight="false" outlineLevel="0" collapsed="false">
      <c r="B7" s="4" t="s">
        <v>4</v>
      </c>
      <c r="C7" s="4"/>
      <c r="D7" s="4"/>
    </row>
    <row r="9" customFormat="false" ht="15.75" hidden="false" customHeight="true" outlineLevel="0" collapsed="false">
      <c r="B9" s="5" t="s">
        <v>5</v>
      </c>
      <c r="C9" s="5"/>
      <c r="D9" s="5"/>
    </row>
    <row r="10" customFormat="false" ht="15" hidden="false" customHeight="false" outlineLevel="0" collapsed="false">
      <c r="B10" s="6" t="s">
        <v>6</v>
      </c>
      <c r="C10" s="7" t="n">
        <f aca="false">'Trading Comps'!B5</f>
        <v>159</v>
      </c>
    </row>
    <row r="11" customFormat="false" ht="15" hidden="false" customHeight="false" outlineLevel="0" collapsed="false">
      <c r="B11" s="6" t="s">
        <v>7</v>
      </c>
      <c r="C11" s="8" t="s">
        <v>8</v>
      </c>
    </row>
    <row r="12" customFormat="false" ht="15" hidden="false" customHeight="false" outlineLevel="0" collapsed="false">
      <c r="B12" s="6" t="s">
        <v>9</v>
      </c>
      <c r="C12" s="9" t="n">
        <f aca="false">DCF!B16</f>
        <v>72600</v>
      </c>
    </row>
    <row r="13" customFormat="false" ht="15" hidden="false" customHeight="false" outlineLevel="0" collapsed="false">
      <c r="B13" s="6" t="s">
        <v>10</v>
      </c>
      <c r="C13" s="9" t="n">
        <f aca="false">'Trading Comps'!G5</f>
        <v>85361.4</v>
      </c>
    </row>
    <row r="14" customFormat="false" ht="15" hidden="false" customHeight="false" outlineLevel="0" collapsed="false">
      <c r="B14" s="6" t="s">
        <v>11</v>
      </c>
      <c r="C14" s="10" t="n">
        <f aca="false">'Trading Comps'!C5</f>
        <v>456.6</v>
      </c>
    </row>
    <row r="15" customFormat="false" ht="15" hidden="false" customHeight="false" outlineLevel="0" collapsed="false">
      <c r="B15" s="6" t="s">
        <v>12</v>
      </c>
      <c r="C15" s="11" t="n">
        <v>1.16</v>
      </c>
    </row>
    <row r="16" customFormat="false" ht="15" hidden="false" customHeight="false" outlineLevel="0" collapsed="false">
      <c r="B16" s="6" t="s">
        <v>13</v>
      </c>
      <c r="C16" s="12" t="n">
        <f aca="false">1.16*4/159</f>
        <v>0.0291823899371069</v>
      </c>
    </row>
    <row r="17" customFormat="false" ht="15" hidden="false" customHeight="false" outlineLevel="0" collapsed="false">
      <c r="B17" s="6" t="s">
        <v>14</v>
      </c>
      <c r="C17" s="13" t="n">
        <f aca="false">'Trading Comps'!M5</f>
        <v>16.5299180327869</v>
      </c>
    </row>
    <row r="18" customFormat="false" ht="15" hidden="false" customHeight="false" outlineLevel="0" collapsed="false">
      <c r="B18" s="6" t="s">
        <v>15</v>
      </c>
      <c r="C18" s="13" t="n">
        <f aca="false">'Trading Comps'!J5</f>
        <v>9.23325040562466</v>
      </c>
    </row>
    <row r="19" customFormat="false" ht="15" hidden="false" customHeight="false" outlineLevel="0" collapsed="false">
      <c r="B19" s="6" t="s">
        <v>16</v>
      </c>
      <c r="C19" s="14" t="n">
        <f aca="false">DCF!B7</f>
        <v>0.823715342643588</v>
      </c>
    </row>
    <row r="20" customFormat="false" ht="15" hidden="false" customHeight="false" outlineLevel="0" collapsed="false">
      <c r="B20" s="6" t="s">
        <v>17</v>
      </c>
      <c r="C20" s="15" t="n">
        <f aca="false">DCF!B25</f>
        <v>0.0743025074560951</v>
      </c>
    </row>
    <row r="21" customFormat="false" ht="15" hidden="false" customHeight="false" outlineLevel="0" collapsed="false">
      <c r="B21" s="6" t="s">
        <v>18</v>
      </c>
      <c r="C21" s="8" t="s">
        <v>19</v>
      </c>
    </row>
    <row r="22" customFormat="false" ht="15" hidden="false" customHeight="false" outlineLevel="0" collapsed="false">
      <c r="B22" s="6" t="s">
        <v>20</v>
      </c>
      <c r="C22" s="8" t="s">
        <v>21</v>
      </c>
    </row>
    <row r="23" customFormat="false" ht="15" hidden="false" customHeight="false" outlineLevel="0" collapsed="false">
      <c r="B23" s="6" t="s">
        <v>22</v>
      </c>
      <c r="C23" s="7" t="n">
        <f aca="false">DCF!D71</f>
        <v>132.703469025634</v>
      </c>
    </row>
    <row r="24" customFormat="false" ht="15" hidden="false" customHeight="false" outlineLevel="0" collapsed="false">
      <c r="A24" s="16" t="s">
        <v>23</v>
      </c>
      <c r="B24" s="16"/>
      <c r="C24" s="16"/>
    </row>
    <row r="26" customFormat="false" ht="15.75" hidden="false" customHeight="true" outlineLevel="0" collapsed="false">
      <c r="B26" s="5" t="s">
        <v>24</v>
      </c>
      <c r="C26" s="5"/>
      <c r="D26" s="5"/>
    </row>
    <row r="27" customFormat="false" ht="15" hidden="false" customHeight="false" outlineLevel="0" collapsed="false">
      <c r="B27" s="17" t="s">
        <v>25</v>
      </c>
      <c r="C27" s="17"/>
      <c r="D27" s="17"/>
    </row>
    <row r="28" customFormat="false" ht="15" hidden="false" customHeight="false" outlineLevel="0" collapsed="false">
      <c r="B28" s="17" t="s">
        <v>26</v>
      </c>
      <c r="C28" s="17"/>
      <c r="D28" s="17"/>
    </row>
    <row r="29" customFormat="false" ht="15" hidden="false" customHeight="false" outlineLevel="0" collapsed="false">
      <c r="B29" s="17" t="s">
        <v>27</v>
      </c>
      <c r="C29" s="17"/>
      <c r="D29" s="17"/>
    </row>
    <row r="30" customFormat="false" ht="15" hidden="false" customHeight="false" outlineLevel="0" collapsed="false">
      <c r="B30" s="17" t="s">
        <v>28</v>
      </c>
      <c r="C30" s="17"/>
      <c r="D30" s="17"/>
    </row>
    <row r="31" customFormat="false" ht="15" hidden="false" customHeight="false" outlineLevel="0" collapsed="false">
      <c r="B31" s="17" t="s">
        <v>29</v>
      </c>
      <c r="C31" s="17"/>
      <c r="D31" s="17"/>
    </row>
    <row r="32" customFormat="false" ht="15" hidden="false" customHeight="false" outlineLevel="0" collapsed="false">
      <c r="B32" s="17" t="s">
        <v>30</v>
      </c>
      <c r="C32" s="17"/>
      <c r="D32" s="17"/>
    </row>
    <row r="33" customFormat="false" ht="15" hidden="false" customHeight="false" outlineLevel="0" collapsed="false">
      <c r="B33" s="17" t="s">
        <v>31</v>
      </c>
      <c r="C33" s="17"/>
      <c r="D33" s="17"/>
    </row>
    <row r="34" customFormat="false" ht="15" hidden="false" customHeight="false" outlineLevel="0" collapsed="false">
      <c r="B34" s="17" t="s">
        <v>32</v>
      </c>
      <c r="C34" s="17"/>
      <c r="D34" s="17"/>
    </row>
    <row r="35" customFormat="false" ht="15" hidden="false" customHeight="false" outlineLevel="0" collapsed="false">
      <c r="B35" s="17" t="s">
        <v>33</v>
      </c>
      <c r="C35" s="17"/>
      <c r="D35" s="17"/>
    </row>
    <row r="36" customFormat="false" ht="15" hidden="false" customHeight="false" outlineLevel="0" collapsed="false">
      <c r="B36" s="17" t="s">
        <v>34</v>
      </c>
      <c r="C36" s="17"/>
      <c r="D36" s="17"/>
    </row>
    <row r="37" customFormat="false" ht="15" hidden="false" customHeight="false" outlineLevel="0" collapsed="false">
      <c r="B37" s="17" t="s">
        <v>35</v>
      </c>
      <c r="C37" s="17"/>
      <c r="D37" s="17"/>
    </row>
    <row r="38" customFormat="false" ht="15" hidden="false" customHeight="false" outlineLevel="0" collapsed="false">
      <c r="B38" s="17" t="s">
        <v>36</v>
      </c>
      <c r="C38" s="17"/>
      <c r="D38" s="17"/>
    </row>
    <row r="39" customFormat="false" ht="15" hidden="false" customHeight="false" outlineLevel="0" collapsed="false">
      <c r="B39" s="17" t="s">
        <v>37</v>
      </c>
      <c r="C39" s="17"/>
      <c r="D39" s="17"/>
    </row>
    <row r="40" customFormat="false" ht="15" hidden="false" customHeight="false" outlineLevel="0" collapsed="false">
      <c r="B40" s="17" t="s">
        <v>38</v>
      </c>
      <c r="C40" s="17"/>
      <c r="D40" s="17"/>
    </row>
    <row r="41" customFormat="false" ht="15" hidden="false" customHeight="false" outlineLevel="0" collapsed="false">
      <c r="B41" s="17" t="s">
        <v>39</v>
      </c>
      <c r="C41" s="17"/>
      <c r="D41" s="17"/>
    </row>
    <row r="42" customFormat="false" ht="15" hidden="false" customHeight="false" outlineLevel="0" collapsed="false">
      <c r="B42" s="17" t="s">
        <v>40</v>
      </c>
      <c r="C42" s="17"/>
      <c r="D42" s="17"/>
    </row>
    <row r="43" customFormat="false" ht="15" hidden="false" customHeight="false" outlineLevel="0" collapsed="false">
      <c r="B43" s="17" t="s">
        <v>41</v>
      </c>
      <c r="C43" s="17"/>
      <c r="D43" s="17"/>
    </row>
    <row r="44" customFormat="false" ht="15" hidden="false" customHeight="false" outlineLevel="0" collapsed="false">
      <c r="B44" s="17" t="s">
        <v>42</v>
      </c>
      <c r="C44" s="17"/>
      <c r="D44" s="17"/>
    </row>
    <row r="45" customFormat="false" ht="15" hidden="false" customHeight="false" outlineLevel="0" collapsed="false">
      <c r="B45" s="17" t="s">
        <v>43</v>
      </c>
      <c r="C45" s="17"/>
      <c r="D45" s="17"/>
    </row>
    <row r="46" customFormat="false" ht="15" hidden="false" customHeight="false" outlineLevel="0" collapsed="false">
      <c r="B46" s="17" t="s">
        <v>44</v>
      </c>
      <c r="C46" s="17"/>
      <c r="D46" s="17"/>
    </row>
    <row r="48" customFormat="false" ht="15.75" hidden="false" customHeight="true" outlineLevel="0" collapsed="false">
      <c r="B48" s="5" t="s">
        <v>45</v>
      </c>
      <c r="C48" s="5"/>
      <c r="D48" s="5"/>
    </row>
    <row r="49" customFormat="false" ht="15" hidden="false" customHeight="false" outlineLevel="0" collapsed="false">
      <c r="B49" s="18" t="s">
        <v>46</v>
      </c>
      <c r="C49" s="18"/>
      <c r="D49" s="18"/>
    </row>
    <row r="50" customFormat="false" ht="15" hidden="false" customHeight="false" outlineLevel="0" collapsed="false">
      <c r="B50" s="18" t="s">
        <v>47</v>
      </c>
      <c r="C50" s="18"/>
      <c r="D50" s="18"/>
    </row>
    <row r="51" customFormat="false" ht="15" hidden="false" customHeight="false" outlineLevel="0" collapsed="false">
      <c r="B51" s="18" t="s">
        <v>48</v>
      </c>
      <c r="C51" s="18"/>
      <c r="D51" s="18"/>
    </row>
    <row r="52" customFormat="false" ht="15" hidden="false" customHeight="false" outlineLevel="0" collapsed="false">
      <c r="B52" s="18" t="s">
        <v>49</v>
      </c>
      <c r="C52" s="18"/>
      <c r="D52" s="18"/>
    </row>
    <row r="53" customFormat="false" ht="15" hidden="false" customHeight="false" outlineLevel="0" collapsed="false">
      <c r="B53" s="18" t="s">
        <v>50</v>
      </c>
      <c r="C53" s="18"/>
      <c r="D53" s="18"/>
    </row>
    <row r="54" customFormat="false" ht="15" hidden="false" customHeight="false" outlineLevel="0" collapsed="false">
      <c r="B54" s="18" t="s">
        <v>51</v>
      </c>
      <c r="C54" s="18"/>
      <c r="D54" s="18"/>
    </row>
    <row r="56" customFormat="false" ht="15.75" hidden="false" customHeight="true" outlineLevel="0" collapsed="false">
      <c r="B56" s="5" t="s">
        <v>52</v>
      </c>
      <c r="C56" s="5"/>
      <c r="D56" s="5"/>
    </row>
    <row r="57" customFormat="false" ht="15" hidden="false" customHeight="false" outlineLevel="0" collapsed="false">
      <c r="B57" s="18" t="s">
        <v>53</v>
      </c>
      <c r="C57" s="18"/>
      <c r="D57" s="18"/>
    </row>
    <row r="58" customFormat="false" ht="15" hidden="false" customHeight="false" outlineLevel="0" collapsed="false">
      <c r="B58" s="18" t="s">
        <v>54</v>
      </c>
      <c r="C58" s="18"/>
      <c r="D58" s="18"/>
    </row>
    <row r="59" customFormat="false" ht="15" hidden="false" customHeight="false" outlineLevel="0" collapsed="false">
      <c r="B59" s="18" t="s">
        <v>55</v>
      </c>
      <c r="C59" s="18"/>
      <c r="D59" s="18"/>
    </row>
    <row r="60" customFormat="false" ht="15" hidden="false" customHeight="false" outlineLevel="0" collapsed="false">
      <c r="B60" s="18" t="s">
        <v>56</v>
      </c>
      <c r="C60" s="18"/>
      <c r="D60" s="18"/>
    </row>
    <row r="61" customFormat="false" ht="15" hidden="false" customHeight="false" outlineLevel="0" collapsed="false">
      <c r="B61" s="18" t="s">
        <v>57</v>
      </c>
      <c r="C61" s="18"/>
      <c r="D61" s="18"/>
    </row>
    <row r="62" customFormat="false" ht="15" hidden="false" customHeight="false" outlineLevel="0" collapsed="false">
      <c r="B62" s="18" t="s">
        <v>58</v>
      </c>
      <c r="C62" s="18"/>
      <c r="D62" s="18"/>
    </row>
  </sheetData>
  <mergeCells count="38">
    <mergeCell ref="B2:D2"/>
    <mergeCell ref="B3:D3"/>
    <mergeCell ref="B4:D4"/>
    <mergeCell ref="B6:D6"/>
    <mergeCell ref="B7:D7"/>
    <mergeCell ref="A24:C24"/>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9:D49"/>
    <mergeCell ref="B50:D50"/>
    <mergeCell ref="B51:D51"/>
    <mergeCell ref="B52:D52"/>
    <mergeCell ref="B53:D53"/>
    <mergeCell ref="B54:D54"/>
    <mergeCell ref="B57:D57"/>
    <mergeCell ref="B58:D58"/>
    <mergeCell ref="B59:D59"/>
    <mergeCell ref="B60:D60"/>
    <mergeCell ref="B61:D61"/>
    <mergeCell ref="B62:D62"/>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13" min="2" style="0" width="12"/>
  </cols>
  <sheetData>
    <row r="1" customFormat="false" ht="21.75" hidden="false" customHeight="true" outlineLevel="0" collapsed="false">
      <c r="A1" s="19" t="s">
        <v>232</v>
      </c>
      <c r="B1" s="19"/>
      <c r="C1" s="19"/>
      <c r="D1" s="19"/>
      <c r="E1" s="19"/>
      <c r="F1" s="19"/>
      <c r="G1" s="19"/>
      <c r="H1" s="19"/>
      <c r="I1" s="19"/>
      <c r="J1" s="19"/>
      <c r="K1" s="19"/>
      <c r="L1" s="19"/>
      <c r="M1" s="19"/>
    </row>
    <row r="2" customFormat="false" ht="15.75" hidden="false" customHeight="true" outlineLevel="0" collapsed="false">
      <c r="A2" s="20" t="s">
        <v>578</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579</v>
      </c>
      <c r="B7" s="5"/>
      <c r="C7" s="5"/>
      <c r="D7" s="5"/>
      <c r="E7" s="5"/>
      <c r="F7" s="5"/>
      <c r="G7" s="5"/>
      <c r="H7" s="5"/>
      <c r="I7" s="5"/>
      <c r="J7" s="5"/>
      <c r="K7" s="5"/>
      <c r="L7" s="5"/>
      <c r="M7" s="5"/>
    </row>
    <row r="8" customFormat="false" ht="15" hidden="false" customHeight="false" outlineLevel="0" collapsed="false">
      <c r="A8" s="38" t="s">
        <v>452</v>
      </c>
      <c r="B8" s="24" t="n">
        <f aca="false">'Revenue Build'!B72</f>
        <v>106005</v>
      </c>
      <c r="C8" s="24" t="n">
        <f aca="false">'Revenue Build'!C72</f>
        <v>109120</v>
      </c>
      <c r="D8" s="24" t="n">
        <f aca="false">'Revenue Build'!D72</f>
        <v>107412</v>
      </c>
      <c r="E8" s="24" t="n">
        <f aca="false">'Revenue Build'!E72</f>
        <v>106566</v>
      </c>
      <c r="F8" s="24" t="n">
        <f aca="false">'Revenue Build'!F72</f>
        <v>104780</v>
      </c>
      <c r="G8" s="24" t="n">
        <f aca="false">'Revenue Build'!G72</f>
        <v>110010.971659967</v>
      </c>
      <c r="H8" s="24" t="n">
        <f aca="false">'Revenue Build'!H72</f>
        <v>114132.857033237</v>
      </c>
      <c r="I8" s="24" t="n">
        <f aca="false">'Revenue Build'!I72</f>
        <v>117379.264579684</v>
      </c>
      <c r="J8" s="24" t="n">
        <f aca="false">'Revenue Build'!J72</f>
        <v>120425.67178023</v>
      </c>
      <c r="K8" s="24" t="n">
        <f aca="false">'Revenue Build'!K72</f>
        <v>123545.477158804</v>
      </c>
      <c r="L8" s="24" t="n">
        <f aca="false">'Revenue Build'!L72</f>
        <v>126607.821889093</v>
      </c>
      <c r="M8" s="24" t="n">
        <f aca="false">'Revenue Build'!M72</f>
        <v>129787.902913821</v>
      </c>
    </row>
    <row r="9" customFormat="false" ht="15" hidden="false" customHeight="false" outlineLevel="0" collapsed="false">
      <c r="A9" s="38" t="s">
        <v>453</v>
      </c>
      <c r="B9" s="24" t="n">
        <f aca="false">'Gross Margin Build'!B45</f>
        <v>74963</v>
      </c>
      <c r="C9" s="24" t="n">
        <f aca="false">'Gross Margin Build'!C45</f>
        <v>82229</v>
      </c>
      <c r="D9" s="24" t="n">
        <f aca="false">'Gross Margin Build'!D45</f>
        <v>77736</v>
      </c>
      <c r="E9" s="24" t="n">
        <f aca="false">'Gross Margin Build'!E45</f>
        <v>76502</v>
      </c>
      <c r="F9" s="24" t="n">
        <f aca="false">'Gross Margin Build'!F45</f>
        <v>75511</v>
      </c>
      <c r="G9" s="24" t="n">
        <f aca="false">'Gross Margin Build'!G45</f>
        <v>78950.7313627043</v>
      </c>
      <c r="H9" s="24" t="n">
        <f aca="false">'Gross Margin Build'!H45</f>
        <v>81760.4805513365</v>
      </c>
      <c r="I9" s="24" t="n">
        <f aca="false">'Gross Margin Build'!I45</f>
        <v>83933.4916144075</v>
      </c>
      <c r="J9" s="24" t="n">
        <f aca="false">'Gross Margin Build'!J45</f>
        <v>85991.4370044727</v>
      </c>
      <c r="K9" s="24" t="n">
        <f aca="false">'Gross Margin Build'!K45</f>
        <v>88095.627056724</v>
      </c>
      <c r="L9" s="24" t="n">
        <f aca="false">'Gross Margin Build'!L45</f>
        <v>90152.6619345338</v>
      </c>
      <c r="M9" s="24" t="n">
        <f aca="false">'Gross Margin Build'!M45</f>
        <v>92287.2899679267</v>
      </c>
    </row>
    <row r="11" customFormat="false" ht="15.75" hidden="false" customHeight="true" outlineLevel="0" collapsed="false">
      <c r="A11" s="5" t="s">
        <v>580</v>
      </c>
      <c r="B11" s="5"/>
      <c r="C11" s="5"/>
      <c r="D11" s="5"/>
      <c r="E11" s="5"/>
      <c r="F11" s="5"/>
      <c r="G11" s="5"/>
      <c r="H11" s="5"/>
      <c r="I11" s="5"/>
      <c r="J11" s="5"/>
      <c r="K11" s="5"/>
      <c r="L11" s="5"/>
      <c r="M11" s="5"/>
    </row>
    <row r="12" customFormat="false" ht="15" hidden="false" customHeight="false" outlineLevel="0" collapsed="false">
      <c r="A12" s="6" t="s">
        <v>581</v>
      </c>
      <c r="B12" s="46" t="n">
        <v>13902</v>
      </c>
      <c r="C12" s="46" t="n">
        <v>13499</v>
      </c>
      <c r="D12" s="46" t="n">
        <v>11886</v>
      </c>
      <c r="E12" s="46" t="n">
        <v>12740</v>
      </c>
      <c r="F12" s="46" t="n">
        <v>12304</v>
      </c>
      <c r="G12" s="46"/>
      <c r="H12" s="46"/>
      <c r="I12" s="46"/>
      <c r="J12" s="46"/>
      <c r="K12" s="46"/>
      <c r="L12" s="46"/>
      <c r="M12" s="46"/>
    </row>
    <row r="13" customFormat="false" ht="15" hidden="false" customHeight="false" outlineLevel="0" collapsed="false">
      <c r="A13" s="38" t="s">
        <v>582</v>
      </c>
      <c r="B13" s="83" t="n">
        <f aca="false">B12/B9*365</f>
        <v>67.6897936315249</v>
      </c>
      <c r="C13" s="83" t="n">
        <f aca="false">C12/C9*365</f>
        <v>59.9196755402595</v>
      </c>
      <c r="D13" s="83" t="n">
        <f aca="false">D12/D9*365</f>
        <v>55.8092775548009</v>
      </c>
      <c r="E13" s="83" t="n">
        <f aca="false">E12/E9*365</f>
        <v>60.7840317900186</v>
      </c>
      <c r="F13" s="83" t="n">
        <f aca="false">F12/F9*365</f>
        <v>59.4742487849452</v>
      </c>
    </row>
    <row r="14" customFormat="false" ht="15" hidden="false" customHeight="false" outlineLevel="0" collapsed="false">
      <c r="A14" s="38" t="s">
        <v>583</v>
      </c>
      <c r="G14" s="84" t="n">
        <v>58.5</v>
      </c>
      <c r="H14" s="84" t="n">
        <v>55</v>
      </c>
      <c r="I14" s="84" t="n">
        <v>52</v>
      </c>
      <c r="J14" s="84" t="n">
        <v>50</v>
      </c>
      <c r="K14" s="84" t="n">
        <v>50</v>
      </c>
      <c r="L14" s="84" t="n">
        <v>50</v>
      </c>
      <c r="M14" s="84" t="n">
        <v>50</v>
      </c>
    </row>
    <row r="15" customFormat="false" ht="15" hidden="false" customHeight="false" outlineLevel="0" collapsed="false">
      <c r="G15" s="84" t="n">
        <v>59</v>
      </c>
      <c r="H15" s="84" t="n">
        <v>57.5</v>
      </c>
      <c r="I15" s="84" t="n">
        <v>56</v>
      </c>
      <c r="J15" s="84" t="n">
        <v>56</v>
      </c>
      <c r="K15" s="84" t="n">
        <v>56</v>
      </c>
      <c r="L15" s="84" t="n">
        <v>56</v>
      </c>
      <c r="M15" s="84" t="n">
        <v>56</v>
      </c>
    </row>
    <row r="16" customFormat="false" ht="15" hidden="false" customHeight="false" outlineLevel="0" collapsed="false">
      <c r="G16" s="84" t="n">
        <v>59.2</v>
      </c>
      <c r="H16" s="84" t="n">
        <v>57.7</v>
      </c>
      <c r="I16" s="84" t="n">
        <v>56.2</v>
      </c>
      <c r="J16" s="84" t="n">
        <v>56.2</v>
      </c>
      <c r="K16" s="84" t="n">
        <v>56.2</v>
      </c>
      <c r="L16" s="84" t="n">
        <v>56.2</v>
      </c>
      <c r="M16" s="84" t="n">
        <v>56.2</v>
      </c>
    </row>
    <row r="17" customFormat="false" ht="15" hidden="false" customHeight="false" outlineLevel="0" collapsed="false">
      <c r="A17" s="38" t="s">
        <v>584</v>
      </c>
      <c r="G17" s="85" t="n">
        <f aca="false">CHOOSE(Assumptions!B5,G14,G15,G16)</f>
        <v>59</v>
      </c>
      <c r="H17" s="85" t="n">
        <f aca="false">CHOOSE(Assumptions!B5,H14,H15,H16)</f>
        <v>57.5</v>
      </c>
      <c r="I17" s="85" t="n">
        <f aca="false">CHOOSE(Assumptions!B5,I14,I15,I16)</f>
        <v>56</v>
      </c>
      <c r="J17" s="85" t="n">
        <f aca="false">CHOOSE(Assumptions!B5,J14,J15,J16)</f>
        <v>56</v>
      </c>
      <c r="K17" s="85" t="n">
        <f aca="false">CHOOSE(Assumptions!B5,K14,K15,K16)</f>
        <v>56</v>
      </c>
      <c r="L17" s="85" t="n">
        <f aca="false">CHOOSE(Assumptions!B5,L14,L15,L16)</f>
        <v>56</v>
      </c>
      <c r="M17" s="85" t="n">
        <f aca="false">CHOOSE(Assumptions!B5,M14,M15,M16)</f>
        <v>56</v>
      </c>
    </row>
    <row r="18" customFormat="false" ht="15" hidden="false" customHeight="false" outlineLevel="0" collapsed="false">
      <c r="A18" s="45" t="s">
        <v>585</v>
      </c>
      <c r="B18" s="45"/>
      <c r="C18" s="45"/>
      <c r="D18" s="45"/>
      <c r="E18" s="45"/>
      <c r="F18" s="45"/>
      <c r="G18" s="45"/>
      <c r="H18" s="45"/>
      <c r="I18" s="45"/>
      <c r="J18" s="45"/>
      <c r="K18" s="45"/>
      <c r="L18" s="45"/>
      <c r="M18" s="45"/>
    </row>
    <row r="19" customFormat="false" ht="15" hidden="false" customHeight="false" outlineLevel="0" collapsed="false">
      <c r="A19" s="37" t="s">
        <v>581</v>
      </c>
      <c r="G19" s="67" t="n">
        <f aca="false">G17/365*G9</f>
        <v>12761.8990421906</v>
      </c>
      <c r="H19" s="67" t="n">
        <f aca="false">H17/365*H9</f>
        <v>12880.0757032927</v>
      </c>
      <c r="I19" s="67" t="n">
        <f aca="false">I17/365*I9</f>
        <v>12877.467206594</v>
      </c>
      <c r="J19" s="67" t="n">
        <f aca="false">J17/365*J9</f>
        <v>13193.206773289</v>
      </c>
      <c r="K19" s="67" t="n">
        <f aca="false">K17/365*K9</f>
        <v>13516.0414114426</v>
      </c>
      <c r="L19" s="67" t="n">
        <f aca="false">L17/365*L9</f>
        <v>13831.6412831066</v>
      </c>
      <c r="M19" s="67" t="n">
        <f aca="false">M17/365*M9</f>
        <v>14159.1458580929</v>
      </c>
    </row>
    <row r="21" customFormat="false" ht="15.75" hidden="false" customHeight="true" outlineLevel="0" collapsed="false">
      <c r="A21" s="5" t="s">
        <v>586</v>
      </c>
      <c r="B21" s="5"/>
      <c r="C21" s="5"/>
      <c r="D21" s="5"/>
      <c r="E21" s="5"/>
      <c r="F21" s="5"/>
      <c r="G21" s="5"/>
      <c r="H21" s="5"/>
      <c r="I21" s="5"/>
      <c r="J21" s="5"/>
      <c r="K21" s="5"/>
      <c r="L21" s="5"/>
      <c r="M21" s="5"/>
    </row>
    <row r="22" customFormat="false" ht="15" hidden="false" customHeight="false" outlineLevel="0" collapsed="false">
      <c r="A22" s="6" t="s">
        <v>587</v>
      </c>
      <c r="B22" s="46" t="n">
        <v>15478</v>
      </c>
      <c r="C22" s="46" t="n">
        <v>13487</v>
      </c>
      <c r="D22" s="46" t="n">
        <v>12098</v>
      </c>
      <c r="E22" s="46" t="n">
        <v>13053</v>
      </c>
      <c r="F22" s="46" t="n">
        <v>12622</v>
      </c>
      <c r="G22" s="46"/>
      <c r="H22" s="46"/>
      <c r="I22" s="46"/>
      <c r="J22" s="46"/>
      <c r="K22" s="46"/>
      <c r="L22" s="46"/>
      <c r="M22" s="46"/>
    </row>
    <row r="23" customFormat="false" ht="15" hidden="false" customHeight="false" outlineLevel="0" collapsed="false">
      <c r="A23" s="38" t="s">
        <v>588</v>
      </c>
      <c r="B23" s="83" t="n">
        <f aca="false">B22/B9*365</f>
        <v>75.3634459666769</v>
      </c>
      <c r="C23" s="83" t="n">
        <f aca="false">C22/C9*365</f>
        <v>59.8664096608253</v>
      </c>
      <c r="D23" s="83" t="n">
        <f aca="false">D22/D9*365</f>
        <v>56.8046979520428</v>
      </c>
      <c r="E23" s="83" t="n">
        <f aca="false">E22/E9*365</f>
        <v>62.2773914407467</v>
      </c>
      <c r="F23" s="83" t="n">
        <f aca="false">F22/F9*365</f>
        <v>61.0113758260386</v>
      </c>
    </row>
    <row r="24" customFormat="false" ht="15" hidden="false" customHeight="false" outlineLevel="0" collapsed="false">
      <c r="A24" s="38" t="s">
        <v>589</v>
      </c>
      <c r="G24" s="84" t="n">
        <v>62</v>
      </c>
      <c r="H24" s="84" t="n">
        <v>63</v>
      </c>
      <c r="I24" s="84" t="n">
        <v>63</v>
      </c>
      <c r="J24" s="84" t="n">
        <v>63</v>
      </c>
      <c r="K24" s="84" t="n">
        <v>63</v>
      </c>
      <c r="L24" s="84" t="n">
        <v>63</v>
      </c>
      <c r="M24" s="84" t="n">
        <v>63</v>
      </c>
    </row>
    <row r="25" customFormat="false" ht="15" hidden="false" customHeight="false" outlineLevel="0" collapsed="false">
      <c r="G25" s="84" t="n">
        <v>61</v>
      </c>
      <c r="H25" s="84" t="n">
        <v>61</v>
      </c>
      <c r="I25" s="84" t="n">
        <v>61</v>
      </c>
      <c r="J25" s="84" t="n">
        <v>61</v>
      </c>
      <c r="K25" s="84" t="n">
        <v>61</v>
      </c>
      <c r="L25" s="84" t="n">
        <v>61</v>
      </c>
      <c r="M25" s="84" t="n">
        <v>61</v>
      </c>
    </row>
    <row r="26" customFormat="false" ht="15" hidden="false" customHeight="false" outlineLevel="0" collapsed="false">
      <c r="G26" s="84" t="n">
        <v>60.8</v>
      </c>
      <c r="H26" s="84" t="n">
        <v>60.8</v>
      </c>
      <c r="I26" s="84" t="n">
        <v>60.8</v>
      </c>
      <c r="J26" s="84" t="n">
        <v>60.8</v>
      </c>
      <c r="K26" s="84" t="n">
        <v>60.8</v>
      </c>
      <c r="L26" s="84" t="n">
        <v>60.8</v>
      </c>
      <c r="M26" s="84" t="n">
        <v>60.8</v>
      </c>
    </row>
    <row r="27" customFormat="false" ht="15" hidden="false" customHeight="false" outlineLevel="0" collapsed="false">
      <c r="A27" s="38" t="s">
        <v>590</v>
      </c>
      <c r="G27" s="85" t="n">
        <f aca="false">CHOOSE(Assumptions!B5,G24,G25,G26)</f>
        <v>61</v>
      </c>
      <c r="H27" s="85" t="n">
        <f aca="false">CHOOSE(Assumptions!B5,H24,H25,H26)</f>
        <v>61</v>
      </c>
      <c r="I27" s="85" t="n">
        <f aca="false">CHOOSE(Assumptions!B5,I24,I25,I26)</f>
        <v>61</v>
      </c>
      <c r="J27" s="85" t="n">
        <f aca="false">CHOOSE(Assumptions!B5,J24,J25,J26)</f>
        <v>61</v>
      </c>
      <c r="K27" s="85" t="n">
        <f aca="false">CHOOSE(Assumptions!B5,K24,K25,K26)</f>
        <v>61</v>
      </c>
      <c r="L27" s="85" t="n">
        <f aca="false">CHOOSE(Assumptions!B5,L24,L25,L26)</f>
        <v>61</v>
      </c>
      <c r="M27" s="85" t="n">
        <f aca="false">CHOOSE(Assumptions!B5,M24,M25,M26)</f>
        <v>61</v>
      </c>
    </row>
    <row r="28" customFormat="false" ht="15" hidden="false" customHeight="false" outlineLevel="0" collapsed="false">
      <c r="A28" s="45" t="s">
        <v>591</v>
      </c>
      <c r="B28" s="45"/>
      <c r="C28" s="45"/>
      <c r="D28" s="45"/>
      <c r="E28" s="45"/>
      <c r="F28" s="45"/>
      <c r="G28" s="45"/>
      <c r="H28" s="45"/>
      <c r="I28" s="45"/>
      <c r="J28" s="45"/>
      <c r="K28" s="45"/>
      <c r="L28" s="45"/>
      <c r="M28" s="45"/>
    </row>
    <row r="29" customFormat="false" ht="15" hidden="false" customHeight="false" outlineLevel="0" collapsed="false">
      <c r="A29" s="37" t="s">
        <v>587</v>
      </c>
      <c r="G29" s="67" t="n">
        <f aca="false">G27/365*G9</f>
        <v>13194.5057893835</v>
      </c>
      <c r="H29" s="67" t="n">
        <f aca="false">H27/365*H9</f>
        <v>13664.0803113193</v>
      </c>
      <c r="I29" s="67" t="n">
        <f aca="false">I27/365*I9</f>
        <v>14027.2410643256</v>
      </c>
      <c r="J29" s="67" t="n">
        <f aca="false">J27/365*J9</f>
        <v>14371.1716637612</v>
      </c>
      <c r="K29" s="67" t="n">
        <f aca="false">K27/365*K9</f>
        <v>14722.8308231785</v>
      </c>
      <c r="L29" s="67" t="n">
        <f aca="false">L27/365*L9</f>
        <v>15066.6092548125</v>
      </c>
      <c r="M29" s="67" t="n">
        <f aca="false">M27/365*M9</f>
        <v>15423.3553097083</v>
      </c>
    </row>
    <row r="31" customFormat="false" ht="15.75" hidden="false" customHeight="true" outlineLevel="0" collapsed="false">
      <c r="A31" s="5" t="s">
        <v>592</v>
      </c>
      <c r="B31" s="5"/>
      <c r="C31" s="5"/>
      <c r="D31" s="5"/>
      <c r="E31" s="5"/>
      <c r="F31" s="5"/>
      <c r="G31" s="5"/>
      <c r="H31" s="5"/>
      <c r="I31" s="5"/>
      <c r="J31" s="5"/>
      <c r="K31" s="5"/>
      <c r="L31" s="5"/>
      <c r="M31" s="5"/>
    </row>
    <row r="32" customFormat="false" ht="15" hidden="false" customHeight="false" outlineLevel="0" collapsed="false">
      <c r="A32" s="6" t="s">
        <v>593</v>
      </c>
      <c r="B32" s="46" t="n">
        <v>1760</v>
      </c>
      <c r="C32" s="46" t="n">
        <v>2118</v>
      </c>
      <c r="D32" s="46" t="n">
        <v>1807</v>
      </c>
      <c r="E32" s="46" t="n">
        <v>1952</v>
      </c>
      <c r="F32" s="46" t="n">
        <v>2213</v>
      </c>
      <c r="G32" s="46"/>
      <c r="H32" s="46"/>
      <c r="I32" s="46"/>
      <c r="J32" s="46"/>
      <c r="K32" s="46"/>
      <c r="L32" s="46"/>
      <c r="M32" s="46"/>
    </row>
    <row r="33" customFormat="false" ht="15" hidden="false" customHeight="false" outlineLevel="0" collapsed="false">
      <c r="A33" s="38" t="s">
        <v>594</v>
      </c>
      <c r="F33" s="81" t="n">
        <f aca="false">F32/F8</f>
        <v>0.0211204428326016</v>
      </c>
      <c r="G33" s="81" t="n">
        <f aca="false">F33</f>
        <v>0.0211204428326016</v>
      </c>
      <c r="H33" s="81" t="n">
        <f aca="false">F33</f>
        <v>0.0211204428326016</v>
      </c>
      <c r="I33" s="81" t="n">
        <f aca="false">F33</f>
        <v>0.0211204428326016</v>
      </c>
      <c r="J33" s="81" t="n">
        <f aca="false">F33</f>
        <v>0.0211204428326016</v>
      </c>
      <c r="K33" s="81" t="n">
        <f aca="false">F33</f>
        <v>0.0211204428326016</v>
      </c>
      <c r="L33" s="81" t="n">
        <f aca="false">F33</f>
        <v>0.0211204428326016</v>
      </c>
      <c r="M33" s="81" t="n">
        <f aca="false">F33</f>
        <v>0.0211204428326016</v>
      </c>
    </row>
    <row r="34" customFormat="false" ht="15" hidden="false" customHeight="false" outlineLevel="0" collapsed="false">
      <c r="A34" s="37" t="s">
        <v>593</v>
      </c>
      <c r="G34" s="67" t="n">
        <f aca="false">G33*G8</f>
        <v>2323.48043790329</v>
      </c>
      <c r="H34" s="67" t="n">
        <f aca="false">H33*H8</f>
        <v>2410.53648229199</v>
      </c>
      <c r="I34" s="67" t="n">
        <f aca="false">I33*I8</f>
        <v>2479.10204728804</v>
      </c>
      <c r="J34" s="67" t="n">
        <f aca="false">J33*J8</f>
        <v>2543.44351641199</v>
      </c>
      <c r="K34" s="67" t="n">
        <f aca="false">K33*K8</f>
        <v>2609.33518755901</v>
      </c>
      <c r="L34" s="67" t="n">
        <f aca="false">L33*L8</f>
        <v>2674.0132643688</v>
      </c>
      <c r="M34" s="67" t="n">
        <f aca="false">M33*M8</f>
        <v>2741.17798385461</v>
      </c>
    </row>
    <row r="36" customFormat="false" ht="15" hidden="false" customHeight="false" outlineLevel="0" collapsed="false">
      <c r="A36" s="6" t="s">
        <v>595</v>
      </c>
      <c r="B36" s="46" t="n">
        <v>6098</v>
      </c>
      <c r="C36" s="46" t="n">
        <v>5883</v>
      </c>
      <c r="D36" s="46" t="n">
        <v>6090</v>
      </c>
      <c r="E36" s="46" t="n">
        <v>6110</v>
      </c>
      <c r="F36" s="46" t="n">
        <v>6478</v>
      </c>
      <c r="G36" s="46"/>
      <c r="H36" s="46"/>
      <c r="I36" s="46"/>
      <c r="J36" s="46"/>
      <c r="K36" s="46"/>
      <c r="L36" s="46"/>
      <c r="M36" s="46"/>
    </row>
    <row r="37" customFormat="false" ht="15" hidden="false" customHeight="false" outlineLevel="0" collapsed="false">
      <c r="A37" s="38" t="s">
        <v>596</v>
      </c>
      <c r="F37" s="81" t="n">
        <f aca="false">F36/F8</f>
        <v>0.0618247757205574</v>
      </c>
      <c r="G37" s="81" t="n">
        <f aca="false">F37</f>
        <v>0.0618247757205574</v>
      </c>
      <c r="H37" s="81" t="n">
        <f aca="false">F37</f>
        <v>0.0618247757205574</v>
      </c>
      <c r="I37" s="81" t="n">
        <f aca="false">F37</f>
        <v>0.0618247757205574</v>
      </c>
      <c r="J37" s="81" t="n">
        <f aca="false">F37</f>
        <v>0.0618247757205574</v>
      </c>
      <c r="K37" s="81" t="n">
        <f aca="false">F37</f>
        <v>0.0618247757205574</v>
      </c>
      <c r="L37" s="81" t="n">
        <f aca="false">F37</f>
        <v>0.0618247757205574</v>
      </c>
      <c r="M37" s="81" t="n">
        <f aca="false">F37</f>
        <v>0.0618247757205574</v>
      </c>
    </row>
    <row r="38" customFormat="false" ht="15" hidden="false" customHeight="false" outlineLevel="0" collapsed="false">
      <c r="A38" s="37" t="s">
        <v>595</v>
      </c>
      <c r="G38" s="67" t="n">
        <f aca="false">G37*G8</f>
        <v>6801.40364967803</v>
      </c>
      <c r="H38" s="67" t="n">
        <f aca="false">H37*H8</f>
        <v>7056.23828842634</v>
      </c>
      <c r="I38" s="67" t="n">
        <f aca="false">I37*I8</f>
        <v>7256.94670688292</v>
      </c>
      <c r="J38" s="67" t="n">
        <f aca="false">J37*J8</f>
        <v>7445.29014881016</v>
      </c>
      <c r="K38" s="67" t="n">
        <f aca="false">K37*K8</f>
        <v>7638.17141663231</v>
      </c>
      <c r="L38" s="67" t="n">
        <f aca="false">L37*L8</f>
        <v>7827.50019276144</v>
      </c>
      <c r="M38" s="67" t="n">
        <f aca="false">M37*M8</f>
        <v>8024.10798888845</v>
      </c>
    </row>
    <row r="39" customFormat="false" ht="15" hidden="false" customHeight="false" outlineLevel="0" collapsed="false">
      <c r="A39" s="45" t="s">
        <v>597</v>
      </c>
      <c r="B39" s="45"/>
      <c r="C39" s="45"/>
      <c r="D39" s="45"/>
      <c r="E39" s="45"/>
      <c r="F39" s="45"/>
      <c r="G39" s="45"/>
      <c r="H39" s="45"/>
      <c r="I39" s="45"/>
      <c r="J39" s="45"/>
      <c r="K39" s="45"/>
      <c r="L39" s="45"/>
      <c r="M39" s="45"/>
    </row>
    <row r="41" customFormat="false" ht="15.75" hidden="false" customHeight="true" outlineLevel="0" collapsed="false">
      <c r="A41" s="5" t="s">
        <v>598</v>
      </c>
      <c r="B41" s="5"/>
      <c r="C41" s="5"/>
      <c r="D41" s="5"/>
      <c r="E41" s="5"/>
      <c r="F41" s="5"/>
      <c r="G41" s="5"/>
      <c r="H41" s="5"/>
      <c r="I41" s="5"/>
      <c r="J41" s="5"/>
      <c r="K41" s="5"/>
      <c r="L41" s="5"/>
      <c r="M41" s="5"/>
    </row>
    <row r="42" customFormat="false" ht="15" hidden="false" customHeight="false" outlineLevel="0" collapsed="false">
      <c r="A42" s="38" t="s">
        <v>581</v>
      </c>
      <c r="B42" s="73" t="n">
        <f aca="false">B12</f>
        <v>13902</v>
      </c>
      <c r="C42" s="73" t="n">
        <f aca="false">C12</f>
        <v>13499</v>
      </c>
      <c r="D42" s="73" t="n">
        <f aca="false">D12</f>
        <v>11886</v>
      </c>
      <c r="E42" s="73" t="n">
        <f aca="false">E12</f>
        <v>12740</v>
      </c>
      <c r="F42" s="73" t="n">
        <f aca="false">F12</f>
        <v>12304</v>
      </c>
      <c r="G42" s="73" t="n">
        <f aca="false">G19</f>
        <v>12761.8990421906</v>
      </c>
      <c r="H42" s="73" t="n">
        <f aca="false">H19</f>
        <v>12880.0757032927</v>
      </c>
      <c r="I42" s="73" t="n">
        <f aca="false">I19</f>
        <v>12877.467206594</v>
      </c>
      <c r="J42" s="73" t="n">
        <f aca="false">J19</f>
        <v>13193.206773289</v>
      </c>
      <c r="K42" s="73" t="n">
        <f aca="false">K19</f>
        <v>13516.0414114426</v>
      </c>
      <c r="L42" s="73" t="n">
        <f aca="false">L19</f>
        <v>13831.6412831066</v>
      </c>
      <c r="M42" s="73" t="n">
        <f aca="false">M19</f>
        <v>14159.1458580929</v>
      </c>
    </row>
    <row r="43" customFormat="false" ht="15" hidden="false" customHeight="false" outlineLevel="0" collapsed="false">
      <c r="A43" s="38" t="s">
        <v>599</v>
      </c>
      <c r="B43" s="73" t="n">
        <f aca="false">B32</f>
        <v>1760</v>
      </c>
      <c r="C43" s="73" t="n">
        <f aca="false">C32</f>
        <v>2118</v>
      </c>
      <c r="D43" s="73" t="n">
        <f aca="false">D32</f>
        <v>1807</v>
      </c>
      <c r="E43" s="73" t="n">
        <f aca="false">E32</f>
        <v>1952</v>
      </c>
      <c r="F43" s="73" t="n">
        <f aca="false">F32</f>
        <v>2213</v>
      </c>
      <c r="G43" s="73" t="n">
        <f aca="false">G34</f>
        <v>2323.48043790329</v>
      </c>
      <c r="H43" s="73" t="n">
        <f aca="false">H34</f>
        <v>2410.53648229199</v>
      </c>
      <c r="I43" s="73" t="n">
        <f aca="false">I34</f>
        <v>2479.10204728804</v>
      </c>
      <c r="J43" s="73" t="n">
        <f aca="false">J34</f>
        <v>2543.44351641199</v>
      </c>
      <c r="K43" s="73" t="n">
        <f aca="false">K34</f>
        <v>2609.33518755901</v>
      </c>
      <c r="L43" s="73" t="n">
        <f aca="false">L34</f>
        <v>2674.0132643688</v>
      </c>
      <c r="M43" s="73" t="n">
        <f aca="false">M34</f>
        <v>2741.17798385461</v>
      </c>
    </row>
    <row r="44" customFormat="false" ht="15" hidden="false" customHeight="false" outlineLevel="0" collapsed="false">
      <c r="A44" s="38" t="s">
        <v>600</v>
      </c>
      <c r="B44" s="73" t="n">
        <f aca="false">B22</f>
        <v>15478</v>
      </c>
      <c r="C44" s="73" t="n">
        <f aca="false">C22</f>
        <v>13487</v>
      </c>
      <c r="D44" s="73" t="n">
        <f aca="false">D22</f>
        <v>12098</v>
      </c>
      <c r="E44" s="73" t="n">
        <f aca="false">E22</f>
        <v>13053</v>
      </c>
      <c r="F44" s="73" t="n">
        <f aca="false">F22</f>
        <v>12622</v>
      </c>
      <c r="G44" s="73" t="n">
        <f aca="false">G29</f>
        <v>13194.5057893835</v>
      </c>
      <c r="H44" s="73" t="n">
        <f aca="false">H29</f>
        <v>13664.0803113193</v>
      </c>
      <c r="I44" s="73" t="n">
        <f aca="false">I29</f>
        <v>14027.2410643256</v>
      </c>
      <c r="J44" s="73" t="n">
        <f aca="false">J29</f>
        <v>14371.1716637612</v>
      </c>
      <c r="K44" s="73" t="n">
        <f aca="false">K29</f>
        <v>14722.8308231785</v>
      </c>
      <c r="L44" s="73" t="n">
        <f aca="false">L29</f>
        <v>15066.6092548125</v>
      </c>
      <c r="M44" s="73" t="n">
        <f aca="false">M29</f>
        <v>15423.3553097083</v>
      </c>
    </row>
    <row r="45" customFormat="false" ht="15" hidden="false" customHeight="false" outlineLevel="0" collapsed="false">
      <c r="A45" s="38" t="s">
        <v>601</v>
      </c>
      <c r="B45" s="73" t="n">
        <f aca="false">B36</f>
        <v>6098</v>
      </c>
      <c r="C45" s="73" t="n">
        <f aca="false">C36</f>
        <v>5883</v>
      </c>
      <c r="D45" s="73" t="n">
        <f aca="false">D36</f>
        <v>6090</v>
      </c>
      <c r="E45" s="73" t="n">
        <f aca="false">E36</f>
        <v>6110</v>
      </c>
      <c r="F45" s="73" t="n">
        <f aca="false">F36</f>
        <v>6478</v>
      </c>
      <c r="G45" s="73" t="n">
        <f aca="false">G38</f>
        <v>6801.40364967803</v>
      </c>
      <c r="H45" s="73" t="n">
        <f aca="false">H38</f>
        <v>7056.23828842634</v>
      </c>
      <c r="I45" s="73" t="n">
        <f aca="false">I38</f>
        <v>7256.94670688292</v>
      </c>
      <c r="J45" s="73" t="n">
        <f aca="false">J38</f>
        <v>7445.29014881016</v>
      </c>
      <c r="K45" s="73" t="n">
        <f aca="false">K38</f>
        <v>7638.17141663231</v>
      </c>
      <c r="L45" s="73" t="n">
        <f aca="false">L38</f>
        <v>7827.50019276144</v>
      </c>
      <c r="M45" s="73" t="n">
        <f aca="false">M38</f>
        <v>8024.10798888845</v>
      </c>
    </row>
    <row r="46" customFormat="false" ht="15" hidden="false" customHeight="false" outlineLevel="0" collapsed="false">
      <c r="A46" s="37" t="s">
        <v>602</v>
      </c>
      <c r="B46" s="47" t="n">
        <f aca="false">B42+B43-B44-B45</f>
        <v>-5914</v>
      </c>
      <c r="C46" s="47" t="n">
        <f aca="false">C42+C43-C44-C45</f>
        <v>-3753</v>
      </c>
      <c r="D46" s="47" t="n">
        <f aca="false">D42+D43-D44-D45</f>
        <v>-4495</v>
      </c>
      <c r="E46" s="47" t="n">
        <f aca="false">E42+E43-E44-E45</f>
        <v>-4471</v>
      </c>
      <c r="F46" s="47" t="n">
        <f aca="false">F42+F43-F44-F45</f>
        <v>-4583</v>
      </c>
      <c r="G46" s="47" t="n">
        <f aca="false">G42+G43-G44-G45</f>
        <v>-4910.52995896765</v>
      </c>
      <c r="H46" s="47" t="n">
        <f aca="false">H42+H43-H44-H45</f>
        <v>-5429.70641416087</v>
      </c>
      <c r="I46" s="47" t="n">
        <f aca="false">I42+I43-I44-I45</f>
        <v>-5927.61851732649</v>
      </c>
      <c r="J46" s="47" t="n">
        <f aca="false">J42+J43-J44-J45</f>
        <v>-6079.81152287039</v>
      </c>
      <c r="K46" s="47" t="n">
        <f aca="false">K42+K43-K44-K45</f>
        <v>-6235.62564080924</v>
      </c>
      <c r="L46" s="47" t="n">
        <f aca="false">L42+L43-L44-L45</f>
        <v>-6388.45490009858</v>
      </c>
      <c r="M46" s="47" t="n">
        <f aca="false">M42+M43-M44-M45</f>
        <v>-6547.13945664928</v>
      </c>
    </row>
    <row r="47" customFormat="false" ht="15" hidden="false" customHeight="false" outlineLevel="0" collapsed="false">
      <c r="A47" s="38" t="s">
        <v>603</v>
      </c>
      <c r="C47" s="73" t="n">
        <f aca="false">-(C46-B46)</f>
        <v>-2161</v>
      </c>
      <c r="D47" s="73" t="n">
        <f aca="false">-(D46-C46)</f>
        <v>742</v>
      </c>
      <c r="E47" s="73" t="n">
        <f aca="false">-(E46-D46)</f>
        <v>-24</v>
      </c>
      <c r="F47" s="73" t="n">
        <f aca="false">-(F46-E46)</f>
        <v>112</v>
      </c>
      <c r="G47" s="73" t="n">
        <f aca="false">-(G46-F46)</f>
        <v>327.529958967648</v>
      </c>
      <c r="H47" s="73" t="n">
        <f aca="false">-(H46-G46)</f>
        <v>519.176455193221</v>
      </c>
      <c r="I47" s="73" t="n">
        <f aca="false">-(I46-H46)</f>
        <v>497.91210316562</v>
      </c>
      <c r="J47" s="73" t="n">
        <f aca="false">-(J46-I46)</f>
        <v>152.193005543904</v>
      </c>
      <c r="K47" s="73" t="n">
        <f aca="false">-(K46-J46)</f>
        <v>155.814117938845</v>
      </c>
      <c r="L47" s="73" t="n">
        <f aca="false">-(L46-K46)</f>
        <v>152.829259289342</v>
      </c>
      <c r="M47" s="73" t="n">
        <f aca="false">-(M46-L46)</f>
        <v>158.684556550702</v>
      </c>
    </row>
  </sheetData>
  <mergeCells count="5">
    <mergeCell ref="A1:M1"/>
    <mergeCell ref="A2:M2"/>
    <mergeCell ref="A18:M18"/>
    <mergeCell ref="A28:M28"/>
    <mergeCell ref="A39:M39"/>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5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13" min="2" style="0" width="12"/>
  </cols>
  <sheetData>
    <row r="1" customFormat="false" ht="21.75" hidden="false" customHeight="true" outlineLevel="0" collapsed="false">
      <c r="A1" s="19" t="s">
        <v>240</v>
      </c>
      <c r="B1" s="19"/>
      <c r="C1" s="19"/>
      <c r="D1" s="19"/>
      <c r="E1" s="19"/>
      <c r="F1" s="19"/>
      <c r="G1" s="19"/>
      <c r="H1" s="19"/>
      <c r="I1" s="19"/>
      <c r="J1" s="19"/>
      <c r="K1" s="19"/>
      <c r="L1" s="19"/>
      <c r="M1" s="19"/>
    </row>
    <row r="2" customFormat="false" ht="15.75" hidden="false" customHeight="true" outlineLevel="0" collapsed="false">
      <c r="A2" s="20" t="s">
        <v>604</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605</v>
      </c>
      <c r="B7" s="5"/>
      <c r="C7" s="5"/>
      <c r="D7" s="5"/>
      <c r="E7" s="5"/>
      <c r="F7" s="5"/>
      <c r="G7" s="5"/>
      <c r="H7" s="5"/>
      <c r="I7" s="5"/>
      <c r="J7" s="5"/>
      <c r="K7" s="5"/>
      <c r="L7" s="5"/>
      <c r="M7" s="5"/>
    </row>
    <row r="8" customFormat="false" ht="15" hidden="false" customHeight="false" outlineLevel="0" collapsed="false">
      <c r="A8" s="38" t="s">
        <v>606</v>
      </c>
      <c r="F8" s="46" t="n">
        <v>4898</v>
      </c>
    </row>
    <row r="9" customFormat="false" ht="15" hidden="false" customHeight="false" outlineLevel="0" collapsed="false">
      <c r="A9" s="38" t="s">
        <v>607</v>
      </c>
      <c r="F9" s="46" t="n">
        <v>3734</v>
      </c>
    </row>
    <row r="10" customFormat="false" ht="15" hidden="false" customHeight="false" outlineLevel="0" collapsed="false">
      <c r="A10" s="38" t="s">
        <v>608</v>
      </c>
      <c r="F10" s="46" t="n">
        <v>1434</v>
      </c>
    </row>
    <row r="11" customFormat="false" ht="15" hidden="false" customHeight="false" outlineLevel="0" collapsed="false">
      <c r="A11" s="38" t="s">
        <v>609</v>
      </c>
      <c r="F11" s="46" t="n">
        <v>1090</v>
      </c>
    </row>
    <row r="12" customFormat="false" ht="15" hidden="false" customHeight="false" outlineLevel="0" collapsed="false">
      <c r="A12" s="38" t="s">
        <v>610</v>
      </c>
      <c r="F12" s="46" t="n">
        <v>1120</v>
      </c>
    </row>
    <row r="13" customFormat="false" ht="15" hidden="false" customHeight="false" outlineLevel="0" collapsed="false">
      <c r="A13" s="38" t="s">
        <v>611</v>
      </c>
      <c r="F13" s="46" t="n">
        <v>2122</v>
      </c>
    </row>
    <row r="14" customFormat="false" ht="15" hidden="false" customHeight="false" outlineLevel="0" collapsed="false">
      <c r="A14" s="37" t="s">
        <v>612</v>
      </c>
      <c r="F14" s="67" t="n">
        <f aca="false">F8+F9+F10+F11+F12+F13</f>
        <v>14398</v>
      </c>
    </row>
    <row r="15" customFormat="false" ht="15" hidden="false" customHeight="false" outlineLevel="0" collapsed="false">
      <c r="A15" s="38" t="s">
        <v>613</v>
      </c>
      <c r="F15" s="86" t="n">
        <f aca="false">(F8*0.029+F9*0.049+F10*0.063+F11*0.04+F12*0.038+F13*0.039)/F14</f>
        <v>0.040579802750382</v>
      </c>
    </row>
    <row r="16" customFormat="false" ht="15" hidden="false" customHeight="false" outlineLevel="0" collapsed="false">
      <c r="A16" s="16" t="s">
        <v>614</v>
      </c>
      <c r="B16" s="16"/>
      <c r="C16" s="16"/>
      <c r="D16" s="16"/>
      <c r="E16" s="16"/>
      <c r="F16" s="16"/>
      <c r="G16" s="16"/>
      <c r="H16" s="16"/>
      <c r="I16" s="16"/>
      <c r="J16" s="16"/>
      <c r="K16" s="16"/>
      <c r="L16" s="16"/>
      <c r="M16" s="16"/>
    </row>
    <row r="18" customFormat="false" ht="15.75" hidden="false" customHeight="true" outlineLevel="0" collapsed="false">
      <c r="A18" s="5" t="s">
        <v>615</v>
      </c>
      <c r="B18" s="5"/>
      <c r="C18" s="5"/>
      <c r="D18" s="5"/>
      <c r="E18" s="5"/>
      <c r="F18" s="5"/>
      <c r="G18" s="5"/>
      <c r="H18" s="5"/>
      <c r="I18" s="5"/>
      <c r="J18" s="5"/>
      <c r="K18" s="5"/>
      <c r="L18" s="5"/>
      <c r="M18" s="5"/>
    </row>
    <row r="19" customFormat="false" ht="15" hidden="false" customHeight="false" outlineLevel="0" collapsed="false">
      <c r="A19" s="6" t="s">
        <v>616</v>
      </c>
      <c r="G19" s="46" t="n">
        <v>2000</v>
      </c>
      <c r="H19" s="46" t="n">
        <v>97</v>
      </c>
      <c r="I19" s="46" t="n">
        <v>581</v>
      </c>
      <c r="J19" s="46" t="n">
        <v>1000</v>
      </c>
      <c r="K19" s="46" t="n">
        <v>1230</v>
      </c>
      <c r="L19" s="46" t="n">
        <v>0</v>
      </c>
      <c r="M19" s="46" t="n">
        <v>0</v>
      </c>
    </row>
    <row r="20" customFormat="false" ht="15" hidden="false" customHeight="false" outlineLevel="0" collapsed="false">
      <c r="A20" s="45" t="s">
        <v>617</v>
      </c>
      <c r="B20" s="45"/>
      <c r="C20" s="45"/>
      <c r="D20" s="45"/>
      <c r="E20" s="45"/>
      <c r="F20" s="45"/>
      <c r="G20" s="45"/>
      <c r="H20" s="45"/>
      <c r="I20" s="45"/>
      <c r="J20" s="45"/>
      <c r="K20" s="45"/>
      <c r="L20" s="45"/>
      <c r="M20" s="45"/>
    </row>
    <row r="22" customFormat="false" ht="15.75" hidden="false" customHeight="true" outlineLevel="0" collapsed="false">
      <c r="A22" s="5" t="s">
        <v>618</v>
      </c>
      <c r="B22" s="5"/>
      <c r="C22" s="5"/>
      <c r="D22" s="5"/>
      <c r="E22" s="5"/>
      <c r="F22" s="5"/>
      <c r="G22" s="5"/>
      <c r="H22" s="5"/>
      <c r="I22" s="5"/>
      <c r="J22" s="5"/>
      <c r="K22" s="5"/>
      <c r="L22" s="5"/>
      <c r="M22" s="5"/>
    </row>
    <row r="23" customFormat="false" ht="15" hidden="false" customHeight="false" outlineLevel="0" collapsed="false">
      <c r="A23" s="38" t="s">
        <v>619</v>
      </c>
      <c r="G23" s="71" t="n">
        <f aca="false">F14</f>
        <v>14398</v>
      </c>
      <c r="H23" s="71" t="n">
        <f aca="false">G26</f>
        <v>14398</v>
      </c>
      <c r="I23" s="71" t="n">
        <f aca="false">H26</f>
        <v>14398</v>
      </c>
      <c r="J23" s="71" t="n">
        <f aca="false">I26</f>
        <v>14398</v>
      </c>
      <c r="K23" s="71" t="n">
        <f aca="false">J26</f>
        <v>14398</v>
      </c>
      <c r="L23" s="71" t="n">
        <f aca="false">K26</f>
        <v>14398</v>
      </c>
      <c r="M23" s="71" t="n">
        <f aca="false">L26</f>
        <v>14398</v>
      </c>
    </row>
    <row r="24" customFormat="false" ht="15" hidden="false" customHeight="false" outlineLevel="0" collapsed="false">
      <c r="A24" s="38" t="s">
        <v>620</v>
      </c>
      <c r="G24" s="71" t="n">
        <f aca="false">-G19</f>
        <v>-2000</v>
      </c>
      <c r="H24" s="71" t="n">
        <f aca="false">-H19</f>
        <v>-97</v>
      </c>
      <c r="I24" s="71" t="n">
        <f aca="false">-I19</f>
        <v>-581</v>
      </c>
      <c r="J24" s="71" t="n">
        <f aca="false">-J19</f>
        <v>-1000</v>
      </c>
      <c r="K24" s="71" t="n">
        <f aca="false">-K19</f>
        <v>-1230</v>
      </c>
      <c r="L24" s="71" t="n">
        <f aca="false">-L19</f>
        <v>-0</v>
      </c>
      <c r="M24" s="71" t="n">
        <f aca="false">-M19</f>
        <v>-0</v>
      </c>
    </row>
    <row r="25" customFormat="false" ht="15" hidden="false" customHeight="false" outlineLevel="0" collapsed="false">
      <c r="A25" s="38" t="s">
        <v>621</v>
      </c>
      <c r="G25" s="71" t="n">
        <f aca="false">G19</f>
        <v>2000</v>
      </c>
      <c r="H25" s="71" t="n">
        <f aca="false">H19</f>
        <v>97</v>
      </c>
      <c r="I25" s="71" t="n">
        <f aca="false">I19</f>
        <v>581</v>
      </c>
      <c r="J25" s="71" t="n">
        <f aca="false">J19</f>
        <v>1000</v>
      </c>
      <c r="K25" s="71" t="n">
        <f aca="false">K19</f>
        <v>1230</v>
      </c>
      <c r="L25" s="71" t="n">
        <f aca="false">L19</f>
        <v>0</v>
      </c>
      <c r="M25" s="71" t="n">
        <f aca="false">M19</f>
        <v>0</v>
      </c>
    </row>
    <row r="26" customFormat="false" ht="15" hidden="false" customHeight="false" outlineLevel="0" collapsed="false">
      <c r="A26" s="37" t="s">
        <v>622</v>
      </c>
      <c r="G26" s="67" t="n">
        <f aca="false">G23+G24+G25</f>
        <v>14398</v>
      </c>
      <c r="H26" s="67" t="n">
        <f aca="false">H23+H24+H25</f>
        <v>14398</v>
      </c>
      <c r="I26" s="67" t="n">
        <f aca="false">I23+I24+I25</f>
        <v>14398</v>
      </c>
      <c r="J26" s="67" t="n">
        <f aca="false">J23+J24+J25</f>
        <v>14398</v>
      </c>
      <c r="K26" s="67" t="n">
        <f aca="false">K23+K24+K25</f>
        <v>14398</v>
      </c>
      <c r="L26" s="67" t="n">
        <f aca="false">L23+L24+L25</f>
        <v>14398</v>
      </c>
      <c r="M26" s="67" t="n">
        <f aca="false">M23+M24+M25</f>
        <v>14398</v>
      </c>
    </row>
    <row r="27" customFormat="false" ht="15" hidden="false" customHeight="false" outlineLevel="0" collapsed="false">
      <c r="A27" s="38" t="s">
        <v>623</v>
      </c>
      <c r="G27" s="26" t="n">
        <f aca="false">Assumptions!B14+0.005</f>
        <v>0.0513</v>
      </c>
      <c r="H27" s="26" t="n">
        <f aca="false">Assumptions!B14+0.005</f>
        <v>0.0513</v>
      </c>
      <c r="I27" s="26" t="n">
        <f aca="false">Assumptions!B14+0.005</f>
        <v>0.0513</v>
      </c>
      <c r="J27" s="26" t="n">
        <f aca="false">Assumptions!B14+0.005</f>
        <v>0.0513</v>
      </c>
      <c r="K27" s="26" t="n">
        <f aca="false">Assumptions!B14+0.005</f>
        <v>0.0513</v>
      </c>
      <c r="L27" s="26" t="n">
        <f aca="false">Assumptions!B14+0.005</f>
        <v>0.0513</v>
      </c>
      <c r="M27" s="26" t="n">
        <f aca="false">Assumptions!B14+0.005</f>
        <v>0.0513</v>
      </c>
    </row>
    <row r="28" customFormat="false" ht="15" hidden="false" customHeight="false" outlineLevel="0" collapsed="false">
      <c r="A28" s="38" t="s">
        <v>624</v>
      </c>
      <c r="G28" s="81" t="n">
        <f aca="false">F15</f>
        <v>0.040579802750382</v>
      </c>
      <c r="H28" s="81" t="n">
        <f aca="false">G29</f>
        <v>0.042068925857705</v>
      </c>
      <c r="I28" s="81" t="n">
        <f aca="false">H29</f>
        <v>0.0421311160363272</v>
      </c>
      <c r="J28" s="81" t="n">
        <f aca="false">I29</f>
        <v>0.0425011064226929</v>
      </c>
      <c r="K28" s="81" t="n">
        <f aca="false">J29</f>
        <v>0.043112225576555</v>
      </c>
      <c r="L28" s="81" t="n">
        <f aca="false">K29</f>
        <v>0.0438116951237725</v>
      </c>
      <c r="M28" s="81" t="n">
        <f aca="false">L29</f>
        <v>0.0438116951237725</v>
      </c>
    </row>
    <row r="29" customFormat="false" ht="15" hidden="false" customHeight="false" outlineLevel="0" collapsed="false">
      <c r="A29" s="38" t="s">
        <v>625</v>
      </c>
      <c r="G29" s="68" t="n">
        <f aca="false">((G23+G24)*G28+G25*G27)/G26</f>
        <v>0.042068925857705</v>
      </c>
      <c r="H29" s="68" t="n">
        <f aca="false">((H23+H24)*H28+H25*H27)/H26</f>
        <v>0.0421311160363272</v>
      </c>
      <c r="I29" s="68" t="n">
        <f aca="false">((I23+I24)*I28+I25*I27)/I26</f>
        <v>0.0425011064226929</v>
      </c>
      <c r="J29" s="68" t="n">
        <f aca="false">((J23+J24)*J28+J25*J27)/J26</f>
        <v>0.043112225576555</v>
      </c>
      <c r="K29" s="68" t="n">
        <f aca="false">((K23+K24)*K28+K25*K27)/K26</f>
        <v>0.0438116951237725</v>
      </c>
      <c r="L29" s="68" t="n">
        <f aca="false">((L23+L24)*L28+L25*L27)/L26</f>
        <v>0.0438116951237725</v>
      </c>
      <c r="M29" s="68" t="n">
        <f aca="false">((M23+M24)*M28+M25*M27)/M26</f>
        <v>0.0438116951237725</v>
      </c>
    </row>
    <row r="30" customFormat="false" ht="15" hidden="false" customHeight="false" outlineLevel="0" collapsed="false">
      <c r="A30" s="37" t="s">
        <v>626</v>
      </c>
      <c r="G30" s="67" t="n">
        <f aca="false">AVERAGE(G23,G26)*AVERAGE(G28,G29)</f>
        <v>594.988197249618</v>
      </c>
      <c r="H30" s="67" t="n">
        <f aca="false">AVERAGE(H23,H26)*AVERAGE(H28,H29)</f>
        <v>606.156101595137</v>
      </c>
      <c r="I30" s="67" t="n">
        <f aca="false">AVERAGE(I23,I26)*AVERAGE(I28,I29)</f>
        <v>609.267369482486</v>
      </c>
      <c r="J30" s="67" t="n">
        <f aca="false">AVERAGE(J23,J26)*AVERAGE(J28,J29)</f>
        <v>616.330377062586</v>
      </c>
      <c r="K30" s="67" t="n">
        <f aca="false">AVERAGE(K23,K26)*AVERAGE(K28,K29)</f>
        <v>625.765305121658</v>
      </c>
      <c r="L30" s="67" t="n">
        <f aca="false">AVERAGE(L23,L26)*AVERAGE(L28,L29)</f>
        <v>630.800786392077</v>
      </c>
      <c r="M30" s="67" t="n">
        <f aca="false">AVERAGE(M23,M26)*AVERAGE(M28,M29)</f>
        <v>630.800786392077</v>
      </c>
    </row>
    <row r="32" customFormat="false" ht="15.75" hidden="false" customHeight="true" outlineLevel="0" collapsed="false">
      <c r="A32" s="5" t="s">
        <v>627</v>
      </c>
      <c r="B32" s="5"/>
      <c r="C32" s="5"/>
      <c r="D32" s="5"/>
      <c r="E32" s="5"/>
      <c r="F32" s="5"/>
      <c r="G32" s="5"/>
      <c r="H32" s="5"/>
      <c r="I32" s="5"/>
      <c r="J32" s="5"/>
      <c r="K32" s="5"/>
      <c r="L32" s="5"/>
      <c r="M32" s="5"/>
    </row>
    <row r="33" customFormat="false" ht="15" hidden="false" customHeight="false" outlineLevel="0" collapsed="false">
      <c r="A33" s="38" t="s">
        <v>628</v>
      </c>
      <c r="F33" s="46" t="n">
        <v>2113</v>
      </c>
      <c r="G33" s="71" t="n">
        <f aca="false">F33</f>
        <v>2113</v>
      </c>
      <c r="H33" s="71" t="n">
        <f aca="false">F33</f>
        <v>2113</v>
      </c>
      <c r="I33" s="71" t="n">
        <f aca="false">F33</f>
        <v>2113</v>
      </c>
      <c r="J33" s="71" t="n">
        <f aca="false">F33</f>
        <v>2113</v>
      </c>
      <c r="K33" s="71" t="n">
        <f aca="false">F33</f>
        <v>2113</v>
      </c>
      <c r="L33" s="71" t="n">
        <f aca="false">F33</f>
        <v>2113</v>
      </c>
      <c r="M33" s="71" t="n">
        <f aca="false">F33</f>
        <v>2113</v>
      </c>
    </row>
    <row r="34" customFormat="false" ht="15" hidden="false" customHeight="false" outlineLevel="0" collapsed="false">
      <c r="A34" s="38" t="s">
        <v>629</v>
      </c>
      <c r="G34" s="52" t="n">
        <v>0.045</v>
      </c>
      <c r="H34" s="52" t="n">
        <v>0.045</v>
      </c>
      <c r="I34" s="52" t="n">
        <v>0.045</v>
      </c>
      <c r="J34" s="52" t="n">
        <v>0.045</v>
      </c>
      <c r="K34" s="52" t="n">
        <v>0.045</v>
      </c>
      <c r="L34" s="52" t="n">
        <v>0.045</v>
      </c>
      <c r="M34" s="52" t="n">
        <v>0.045</v>
      </c>
    </row>
    <row r="35" customFormat="false" ht="15" hidden="false" customHeight="false" outlineLevel="0" collapsed="false">
      <c r="A35" s="45" t="s">
        <v>630</v>
      </c>
      <c r="B35" s="45"/>
      <c r="C35" s="45"/>
      <c r="D35" s="45"/>
      <c r="E35" s="45"/>
      <c r="F35" s="45"/>
      <c r="G35" s="45"/>
      <c r="H35" s="45"/>
      <c r="I35" s="45"/>
      <c r="J35" s="45"/>
      <c r="K35" s="45"/>
      <c r="L35" s="45"/>
      <c r="M35" s="45"/>
    </row>
    <row r="36" customFormat="false" ht="15" hidden="false" customHeight="false" outlineLevel="0" collapsed="false">
      <c r="A36" s="37" t="s">
        <v>631</v>
      </c>
      <c r="G36" s="67" t="n">
        <f aca="false">G33*G34</f>
        <v>95.085</v>
      </c>
      <c r="H36" s="67" t="n">
        <f aca="false">H33*H34</f>
        <v>95.085</v>
      </c>
      <c r="I36" s="67" t="n">
        <f aca="false">I33*I34</f>
        <v>95.085</v>
      </c>
      <c r="J36" s="67" t="n">
        <f aca="false">J33*J34</f>
        <v>95.085</v>
      </c>
      <c r="K36" s="67" t="n">
        <f aca="false">K33*K34</f>
        <v>95.085</v>
      </c>
      <c r="L36" s="67" t="n">
        <f aca="false">L33*L34</f>
        <v>95.085</v>
      </c>
      <c r="M36" s="67" t="n">
        <f aca="false">M33*M34</f>
        <v>95.085</v>
      </c>
    </row>
    <row r="38" customFormat="false" ht="15.75" hidden="false" customHeight="true" outlineLevel="0" collapsed="false">
      <c r="A38" s="5" t="s">
        <v>632</v>
      </c>
      <c r="B38" s="5"/>
      <c r="C38" s="5"/>
      <c r="D38" s="5"/>
      <c r="E38" s="5"/>
      <c r="F38" s="5"/>
      <c r="G38" s="5"/>
      <c r="H38" s="5"/>
      <c r="I38" s="5"/>
      <c r="J38" s="5"/>
      <c r="K38" s="5"/>
      <c r="L38" s="5"/>
      <c r="M38" s="5"/>
    </row>
    <row r="39" customFormat="false" ht="15" hidden="false" customHeight="false" outlineLevel="0" collapsed="false">
      <c r="A39" s="38" t="s">
        <v>633</v>
      </c>
      <c r="F39" s="46" t="n">
        <v>-55</v>
      </c>
      <c r="G39" s="71" t="n">
        <f aca="false">F39</f>
        <v>-55</v>
      </c>
      <c r="H39" s="71" t="n">
        <f aca="false">F39</f>
        <v>-55</v>
      </c>
      <c r="I39" s="71" t="n">
        <f aca="false">F39</f>
        <v>-55</v>
      </c>
      <c r="J39" s="71" t="n">
        <f aca="false">F39</f>
        <v>-55</v>
      </c>
      <c r="K39" s="71" t="n">
        <f aca="false">F39</f>
        <v>-55</v>
      </c>
      <c r="L39" s="71" t="n">
        <f aca="false">F39</f>
        <v>-55</v>
      </c>
      <c r="M39" s="71" t="n">
        <f aca="false">F39</f>
        <v>-55</v>
      </c>
    </row>
    <row r="40" customFormat="false" ht="15" hidden="false" customHeight="false" outlineLevel="0" collapsed="false">
      <c r="A40" s="37" t="s">
        <v>634</v>
      </c>
      <c r="B40" s="67"/>
      <c r="C40" s="67"/>
      <c r="D40" s="67"/>
      <c r="E40" s="67"/>
      <c r="F40" s="67" t="n">
        <v>16456</v>
      </c>
      <c r="G40" s="47" t="n">
        <f aca="false">G26+G33+G39</f>
        <v>16456</v>
      </c>
      <c r="H40" s="47" t="n">
        <f aca="false">H26+H33+H39</f>
        <v>16456</v>
      </c>
      <c r="I40" s="47" t="n">
        <f aca="false">I26+I33+I39</f>
        <v>16456</v>
      </c>
      <c r="J40" s="47" t="n">
        <f aca="false">J26+J33+J39</f>
        <v>16456</v>
      </c>
      <c r="K40" s="47" t="n">
        <f aca="false">K26+K33+K39</f>
        <v>16456</v>
      </c>
      <c r="L40" s="47" t="n">
        <f aca="false">L26+L33+L39</f>
        <v>16456</v>
      </c>
      <c r="M40" s="47" t="n">
        <f aca="false">M26+M33+M39</f>
        <v>16456</v>
      </c>
    </row>
    <row r="41" customFormat="false" ht="15" hidden="false" customHeight="false" outlineLevel="0" collapsed="false">
      <c r="A41" s="38" t="s">
        <v>635</v>
      </c>
      <c r="F41" s="46" t="n">
        <v>2130</v>
      </c>
      <c r="G41" s="71" t="n">
        <f aca="false">H19</f>
        <v>97</v>
      </c>
      <c r="H41" s="71" t="n">
        <f aca="false">I19</f>
        <v>581</v>
      </c>
      <c r="I41" s="71" t="n">
        <f aca="false">J19</f>
        <v>1000</v>
      </c>
      <c r="J41" s="71" t="n">
        <f aca="false">K19</f>
        <v>1230</v>
      </c>
      <c r="K41" s="71" t="n">
        <f aca="false">L19</f>
        <v>0</v>
      </c>
      <c r="L41" s="71" t="n">
        <f aca="false">M19</f>
        <v>0</v>
      </c>
      <c r="M41" s="73" t="n">
        <v>0</v>
      </c>
    </row>
    <row r="42" customFormat="false" ht="15" hidden="false" customHeight="false" outlineLevel="0" collapsed="false">
      <c r="A42" s="45" t="s">
        <v>636</v>
      </c>
      <c r="B42" s="45"/>
      <c r="C42" s="45"/>
      <c r="D42" s="45"/>
      <c r="E42" s="45"/>
      <c r="F42" s="45"/>
      <c r="G42" s="45"/>
      <c r="H42" s="45"/>
      <c r="I42" s="45"/>
      <c r="J42" s="45"/>
      <c r="K42" s="45"/>
      <c r="L42" s="45"/>
      <c r="M42" s="45"/>
    </row>
    <row r="43" customFormat="false" ht="15" hidden="false" customHeight="false" outlineLevel="0" collapsed="false">
      <c r="A43" s="37" t="s">
        <v>637</v>
      </c>
      <c r="F43" s="67" t="n">
        <f aca="false">F40-F41</f>
        <v>14326</v>
      </c>
      <c r="G43" s="67" t="n">
        <f aca="false">G40-G41</f>
        <v>16359</v>
      </c>
      <c r="H43" s="67" t="n">
        <f aca="false">H40-H41</f>
        <v>15875</v>
      </c>
      <c r="I43" s="67" t="n">
        <f aca="false">I40-I41</f>
        <v>15456</v>
      </c>
      <c r="J43" s="67" t="n">
        <f aca="false">J40-J41</f>
        <v>15226</v>
      </c>
      <c r="K43" s="67" t="n">
        <f aca="false">K40-K41</f>
        <v>16456</v>
      </c>
      <c r="L43" s="67" t="n">
        <f aca="false">L40-L41</f>
        <v>16456</v>
      </c>
      <c r="M43" s="67" t="n">
        <f aca="false">M40-M41</f>
        <v>16456</v>
      </c>
    </row>
    <row r="45" customFormat="false" ht="15.75" hidden="false" customHeight="true" outlineLevel="0" collapsed="false">
      <c r="A45" s="5" t="s">
        <v>638</v>
      </c>
      <c r="B45" s="5"/>
      <c r="C45" s="5"/>
      <c r="D45" s="5"/>
      <c r="E45" s="5"/>
      <c r="F45" s="5"/>
      <c r="G45" s="5"/>
      <c r="H45" s="5"/>
      <c r="I45" s="5"/>
      <c r="J45" s="5"/>
      <c r="K45" s="5"/>
      <c r="L45" s="5"/>
      <c r="M45" s="5"/>
    </row>
    <row r="46" customFormat="false" ht="15" hidden="false" customHeight="false" outlineLevel="0" collapsed="false">
      <c r="A46" s="38" t="s">
        <v>639</v>
      </c>
      <c r="G46" s="54" t="n">
        <v>5200</v>
      </c>
      <c r="H46" s="54" t="n">
        <v>5200</v>
      </c>
      <c r="I46" s="54" t="n">
        <v>5200</v>
      </c>
      <c r="J46" s="54" t="n">
        <v>5200</v>
      </c>
      <c r="K46" s="54" t="n">
        <v>5200</v>
      </c>
      <c r="L46" s="54" t="n">
        <v>5200</v>
      </c>
      <c r="M46" s="54" t="n">
        <v>5200</v>
      </c>
    </row>
    <row r="47" customFormat="false" ht="15" hidden="false" customHeight="false" outlineLevel="0" collapsed="false">
      <c r="A47" s="45" t="s">
        <v>640</v>
      </c>
      <c r="B47" s="45"/>
      <c r="C47" s="45"/>
      <c r="D47" s="45"/>
      <c r="E47" s="45"/>
      <c r="F47" s="45"/>
      <c r="G47" s="45"/>
      <c r="H47" s="45"/>
      <c r="I47" s="45"/>
      <c r="J47" s="45"/>
      <c r="K47" s="45"/>
      <c r="L47" s="45"/>
      <c r="M47" s="45"/>
    </row>
    <row r="48" customFormat="false" ht="15" hidden="false" customHeight="false" outlineLevel="0" collapsed="false">
      <c r="A48" s="38" t="s">
        <v>641</v>
      </c>
      <c r="G48" s="26" t="n">
        <f aca="false">Assumptions!B14-0.0075</f>
        <v>0.0388</v>
      </c>
      <c r="H48" s="26" t="n">
        <f aca="false">Assumptions!B14-0.0075</f>
        <v>0.0388</v>
      </c>
      <c r="I48" s="26" t="n">
        <f aca="false">Assumptions!B14-0.0075</f>
        <v>0.0388</v>
      </c>
      <c r="J48" s="26" t="n">
        <f aca="false">Assumptions!B14-0.0075</f>
        <v>0.0388</v>
      </c>
      <c r="K48" s="26" t="n">
        <f aca="false">Assumptions!B14-0.0075</f>
        <v>0.0388</v>
      </c>
      <c r="L48" s="26" t="n">
        <f aca="false">Assumptions!B14-0.0075</f>
        <v>0.0388</v>
      </c>
      <c r="M48" s="26" t="n">
        <f aca="false">Assumptions!B14-0.0075</f>
        <v>0.0388</v>
      </c>
    </row>
    <row r="49" customFormat="false" ht="15" hidden="false" customHeight="false" outlineLevel="0" collapsed="false">
      <c r="A49" s="38" t="s">
        <v>642</v>
      </c>
      <c r="G49" s="71" t="n">
        <f aca="false">G46*G48</f>
        <v>201.76</v>
      </c>
      <c r="H49" s="71" t="n">
        <f aca="false">H46*H48</f>
        <v>201.76</v>
      </c>
      <c r="I49" s="71" t="n">
        <f aca="false">I46*I48</f>
        <v>201.76</v>
      </c>
      <c r="J49" s="71" t="n">
        <f aca="false">J46*J48</f>
        <v>201.76</v>
      </c>
      <c r="K49" s="71" t="n">
        <f aca="false">K46*K48</f>
        <v>201.76</v>
      </c>
      <c r="L49" s="71" t="n">
        <f aca="false">L46*L48</f>
        <v>201.76</v>
      </c>
      <c r="M49" s="71" t="n">
        <f aca="false">M46*M48</f>
        <v>201.76</v>
      </c>
    </row>
    <row r="50" customFormat="false" ht="15" hidden="false" customHeight="false" outlineLevel="0" collapsed="false">
      <c r="A50" s="38" t="s">
        <v>643</v>
      </c>
      <c r="G50" s="71" t="n">
        <f aca="false">G30+G36</f>
        <v>690.073197249618</v>
      </c>
      <c r="H50" s="71" t="n">
        <f aca="false">H30+H36</f>
        <v>701.241101595137</v>
      </c>
      <c r="I50" s="71" t="n">
        <f aca="false">I30+I36</f>
        <v>704.352369482486</v>
      </c>
      <c r="J50" s="71" t="n">
        <f aca="false">J30+J36</f>
        <v>711.415377062586</v>
      </c>
      <c r="K50" s="71" t="n">
        <f aca="false">K30+K36</f>
        <v>720.850305121658</v>
      </c>
      <c r="L50" s="71" t="n">
        <f aca="false">L30+L36</f>
        <v>725.885786392077</v>
      </c>
      <c r="M50" s="71" t="n">
        <f aca="false">M30+M36</f>
        <v>725.885786392077</v>
      </c>
    </row>
    <row r="51" customFormat="false" ht="15" hidden="false" customHeight="false" outlineLevel="0" collapsed="false">
      <c r="A51" s="37" t="s">
        <v>644</v>
      </c>
      <c r="B51" s="67" t="n">
        <v>421</v>
      </c>
      <c r="C51" s="67" t="n">
        <v>478</v>
      </c>
      <c r="D51" s="67" t="n">
        <v>502</v>
      </c>
      <c r="E51" s="67" t="n">
        <v>411</v>
      </c>
      <c r="F51" s="67" t="n">
        <v>445</v>
      </c>
      <c r="G51" s="47" t="n">
        <f aca="false">G50-G49</f>
        <v>488.313197249618</v>
      </c>
      <c r="H51" s="47" t="n">
        <f aca="false">H50-H49</f>
        <v>499.481101595137</v>
      </c>
      <c r="I51" s="47" t="n">
        <f aca="false">I50-I49</f>
        <v>502.592369482486</v>
      </c>
      <c r="J51" s="47" t="n">
        <f aca="false">J50-J49</f>
        <v>509.655377062586</v>
      </c>
      <c r="K51" s="47" t="n">
        <f aca="false">K50-K49</f>
        <v>519.090305121658</v>
      </c>
      <c r="L51" s="47" t="n">
        <f aca="false">L50-L49</f>
        <v>524.125786392077</v>
      </c>
      <c r="M51" s="47" t="n">
        <f aca="false">M50-M49</f>
        <v>524.125786392077</v>
      </c>
    </row>
  </sheetData>
  <mergeCells count="7">
    <mergeCell ref="A1:M1"/>
    <mergeCell ref="A2:M2"/>
    <mergeCell ref="A16:M16"/>
    <mergeCell ref="A20:M20"/>
    <mergeCell ref="A35:M35"/>
    <mergeCell ref="A42:M42"/>
    <mergeCell ref="A47:M47"/>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3" min="2" style="0" width="12"/>
  </cols>
  <sheetData>
    <row r="1" customFormat="false" ht="21.75" hidden="false" customHeight="true" outlineLevel="0" collapsed="false">
      <c r="A1" s="19" t="s">
        <v>645</v>
      </c>
      <c r="B1" s="19"/>
      <c r="C1" s="19"/>
      <c r="D1" s="19"/>
      <c r="E1" s="19"/>
      <c r="F1" s="19"/>
      <c r="G1" s="19"/>
      <c r="H1" s="19"/>
      <c r="I1" s="19"/>
      <c r="J1" s="19"/>
      <c r="K1" s="19"/>
      <c r="L1" s="19"/>
      <c r="M1" s="19"/>
    </row>
    <row r="2" customFormat="false" ht="15.75" hidden="false" customHeight="true" outlineLevel="0" collapsed="false">
      <c r="A2" s="20" t="s">
        <v>646</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 hidden="false" customHeight="false" outlineLevel="0" collapsed="false">
      <c r="A7" s="37" t="s">
        <v>294</v>
      </c>
      <c r="B7" s="9" t="n">
        <f aca="false">'Revenue Build'!B72</f>
        <v>106005</v>
      </c>
      <c r="C7" s="9" t="n">
        <f aca="false">'Revenue Build'!C72</f>
        <v>109120</v>
      </c>
      <c r="D7" s="9" t="n">
        <f aca="false">'Revenue Build'!D72</f>
        <v>107412</v>
      </c>
      <c r="E7" s="9" t="n">
        <f aca="false">'Revenue Build'!E72</f>
        <v>106566</v>
      </c>
      <c r="F7" s="9" t="n">
        <f aca="false">'Revenue Build'!F72</f>
        <v>104780</v>
      </c>
      <c r="G7" s="9" t="n">
        <f aca="false">'Revenue Build'!G72</f>
        <v>110010.971659967</v>
      </c>
      <c r="H7" s="9" t="n">
        <f aca="false">'Revenue Build'!H72</f>
        <v>114132.857033237</v>
      </c>
      <c r="I7" s="9" t="n">
        <f aca="false">'Revenue Build'!I72</f>
        <v>117379.264579684</v>
      </c>
      <c r="J7" s="9" t="n">
        <f aca="false">'Revenue Build'!J72</f>
        <v>120425.67178023</v>
      </c>
      <c r="K7" s="9" t="n">
        <f aca="false">'Revenue Build'!K72</f>
        <v>123545.477158804</v>
      </c>
      <c r="L7" s="9" t="n">
        <f aca="false">'Revenue Build'!L72</f>
        <v>126607.821889093</v>
      </c>
      <c r="M7" s="9" t="n">
        <f aca="false">'Revenue Build'!M72</f>
        <v>129787.902913821</v>
      </c>
    </row>
    <row r="8" customFormat="false" ht="15" hidden="false" customHeight="false" outlineLevel="0" collapsed="false">
      <c r="A8" s="6" t="s">
        <v>298</v>
      </c>
      <c r="B8" s="24" t="n">
        <f aca="false">-'Gross Margin Build'!B45</f>
        <v>-74963</v>
      </c>
      <c r="C8" s="24" t="n">
        <f aca="false">-'Gross Margin Build'!C45</f>
        <v>-82229</v>
      </c>
      <c r="D8" s="24" t="n">
        <f aca="false">-'Gross Margin Build'!D45</f>
        <v>-77736</v>
      </c>
      <c r="E8" s="24" t="n">
        <f aca="false">-'Gross Margin Build'!E45</f>
        <v>-76502</v>
      </c>
      <c r="F8" s="24" t="n">
        <f aca="false">-'Gross Margin Build'!F45</f>
        <v>-75511</v>
      </c>
      <c r="G8" s="24" t="n">
        <f aca="false">-'Gross Margin Build'!G45</f>
        <v>-78950.7313627043</v>
      </c>
      <c r="H8" s="24" t="n">
        <f aca="false">-'Gross Margin Build'!H45</f>
        <v>-81760.4805513365</v>
      </c>
      <c r="I8" s="24" t="n">
        <f aca="false">-'Gross Margin Build'!I45</f>
        <v>-83933.4916144075</v>
      </c>
      <c r="J8" s="24" t="n">
        <f aca="false">-'Gross Margin Build'!J45</f>
        <v>-85991.4370044727</v>
      </c>
      <c r="K8" s="24" t="n">
        <f aca="false">-'Gross Margin Build'!K45</f>
        <v>-88095.627056724</v>
      </c>
      <c r="L8" s="24" t="n">
        <f aca="false">-'Gross Margin Build'!L45</f>
        <v>-90152.6619345338</v>
      </c>
      <c r="M8" s="24" t="n">
        <f aca="false">-'Gross Margin Build'!M45</f>
        <v>-92287.2899679267</v>
      </c>
    </row>
    <row r="9" customFormat="false" ht="15" hidden="false" customHeight="false" outlineLevel="0" collapsed="false">
      <c r="A9" s="37" t="s">
        <v>299</v>
      </c>
      <c r="B9" s="67" t="n">
        <f aca="false">B7+B8</f>
        <v>31042</v>
      </c>
      <c r="C9" s="67" t="n">
        <f aca="false">C7+C8</f>
        <v>26891</v>
      </c>
      <c r="D9" s="67" t="n">
        <f aca="false">D7+D8</f>
        <v>29676</v>
      </c>
      <c r="E9" s="67" t="n">
        <f aca="false">E7+E8</f>
        <v>30064</v>
      </c>
      <c r="F9" s="67" t="n">
        <f aca="false">F7+F8</f>
        <v>29269</v>
      </c>
      <c r="G9" s="67" t="n">
        <f aca="false">G7+G8</f>
        <v>31060.2402972625</v>
      </c>
      <c r="H9" s="67" t="n">
        <f aca="false">H7+H8</f>
        <v>32372.3764819009</v>
      </c>
      <c r="I9" s="67" t="n">
        <f aca="false">I7+I8</f>
        <v>33445.7729652764</v>
      </c>
      <c r="J9" s="67" t="n">
        <f aca="false">J7+J8</f>
        <v>34434.234775757</v>
      </c>
      <c r="K9" s="67" t="n">
        <f aca="false">K7+K8</f>
        <v>35449.8501020801</v>
      </c>
      <c r="L9" s="67" t="n">
        <f aca="false">L7+L8</f>
        <v>36455.159954559</v>
      </c>
      <c r="M9" s="67" t="n">
        <f aca="false">M7+M8</f>
        <v>37500.6129458943</v>
      </c>
    </row>
    <row r="10" customFormat="false" ht="15" hidden="false" customHeight="false" outlineLevel="0" collapsed="false">
      <c r="A10" s="6" t="s">
        <v>301</v>
      </c>
      <c r="B10" s="24" t="n">
        <f aca="false">-'SG&amp;A Build'!B9</f>
        <v>-19752</v>
      </c>
      <c r="C10" s="24" t="n">
        <f aca="false">-'SG&amp;A Build'!C9</f>
        <v>-20658</v>
      </c>
      <c r="D10" s="24" t="n">
        <f aca="false">-'SG&amp;A Build'!D9</f>
        <v>-21554</v>
      </c>
      <c r="E10" s="24" t="n">
        <f aca="false">-'SG&amp;A Build'!E9</f>
        <v>-21969</v>
      </c>
      <c r="F10" s="24" t="n">
        <f aca="false">-'SG&amp;A Build'!F9</f>
        <v>-21535</v>
      </c>
      <c r="G10" s="24" t="n">
        <f aca="false">-'SG&amp;A Build'!G9</f>
        <v>-22300.8808912729</v>
      </c>
      <c r="H10" s="24" t="n">
        <f aca="false">-'SG&amp;A Build'!H9</f>
        <v>-23228.4392216387</v>
      </c>
      <c r="I10" s="24" t="n">
        <f aca="false">-'SG&amp;A Build'!I9</f>
        <v>-24107.8406497265</v>
      </c>
      <c r="J10" s="24" t="n">
        <f aca="false">-'SG&amp;A Build'!J9</f>
        <v>-24987.2480004644</v>
      </c>
      <c r="K10" s="24" t="n">
        <f aca="false">-'SG&amp;A Build'!K9</f>
        <v>-25889.0467585247</v>
      </c>
      <c r="L10" s="24" t="n">
        <f aca="false">-'SG&amp;A Build'!L9</f>
        <v>-26804.4084130465</v>
      </c>
      <c r="M10" s="24" t="n">
        <f aca="false">-'SG&amp;A Build'!M9</f>
        <v>-27749.8791078534</v>
      </c>
    </row>
    <row r="11" customFormat="false" ht="15" hidden="false" customHeight="false" outlineLevel="0" collapsed="false">
      <c r="A11" s="6" t="s">
        <v>647</v>
      </c>
      <c r="B11" s="46" t="n">
        <v>-2344</v>
      </c>
      <c r="C11" s="46" t="n">
        <v>-2385</v>
      </c>
      <c r="D11" s="46" t="n">
        <v>-2415</v>
      </c>
      <c r="E11" s="46" t="n">
        <v>-2529</v>
      </c>
      <c r="F11" s="46" t="n">
        <v>-2617</v>
      </c>
      <c r="G11" s="24" t="n">
        <f aca="false">-'PP&amp;E-Capex Schedule'!G53*0.835</f>
        <v>-2845.89297226415</v>
      </c>
      <c r="H11" s="24" t="n">
        <f aca="false">-'PP&amp;E-Capex Schedule'!H53*0.835</f>
        <v>-2995.51693452561</v>
      </c>
      <c r="I11" s="24" t="n">
        <f aca="false">-'PP&amp;E-Capex Schedule'!I53*0.835</f>
        <v>-3177.32125703993</v>
      </c>
      <c r="J11" s="24" t="n">
        <f aca="false">-'PP&amp;E-Capex Schedule'!J53*0.835</f>
        <v>-3379.37821112164</v>
      </c>
      <c r="K11" s="24" t="n">
        <f aca="false">-'PP&amp;E-Capex Schedule'!K53*0.835</f>
        <v>-3600.33880475225</v>
      </c>
      <c r="L11" s="24" t="n">
        <f aca="false">-'PP&amp;E-Capex Schedule'!L53*0.835</f>
        <v>-3848.00083735208</v>
      </c>
      <c r="M11" s="24" t="n">
        <f aca="false">-'PP&amp;E-Capex Schedule'!M53*0.835</f>
        <v>-4121.89839897308</v>
      </c>
    </row>
    <row r="12" customFormat="false" ht="15" hidden="false" customHeight="false" outlineLevel="0" collapsed="false">
      <c r="A12" s="16" t="s">
        <v>648</v>
      </c>
      <c r="B12" s="16"/>
      <c r="C12" s="16"/>
      <c r="D12" s="16"/>
      <c r="E12" s="16"/>
      <c r="F12" s="16"/>
      <c r="G12" s="16"/>
      <c r="H12" s="16"/>
      <c r="I12" s="16"/>
      <c r="J12" s="16"/>
      <c r="K12" s="16"/>
      <c r="L12" s="16"/>
      <c r="M12" s="16"/>
    </row>
    <row r="13" customFormat="false" ht="15" hidden="false" customHeight="false" outlineLevel="0" collapsed="false">
      <c r="A13" s="37" t="s">
        <v>304</v>
      </c>
      <c r="B13" s="47" t="n">
        <f aca="false">B9+B10+B11</f>
        <v>8946</v>
      </c>
      <c r="C13" s="47" t="n">
        <f aca="false">C9+C10+C11</f>
        <v>3848</v>
      </c>
      <c r="D13" s="47" t="n">
        <f aca="false">D9+D10+D11</f>
        <v>5707</v>
      </c>
      <c r="E13" s="47" t="n">
        <f aca="false">E9+E10+E11</f>
        <v>5566</v>
      </c>
      <c r="F13" s="47" t="n">
        <f aca="false">F9+F10+F11</f>
        <v>5117</v>
      </c>
      <c r="G13" s="47" t="n">
        <f aca="false">G9+G10+G11</f>
        <v>5913.46643372545</v>
      </c>
      <c r="H13" s="47" t="n">
        <f aca="false">H9+H10+H11</f>
        <v>6148.42032573659</v>
      </c>
      <c r="I13" s="47" t="n">
        <f aca="false">I9+I10+I11</f>
        <v>6160.6110585099</v>
      </c>
      <c r="J13" s="47" t="n">
        <f aca="false">J9+J10+J11</f>
        <v>6067.60856417102</v>
      </c>
      <c r="K13" s="47" t="n">
        <f aca="false">K9+K10+K11</f>
        <v>5960.46453880319</v>
      </c>
      <c r="L13" s="47" t="n">
        <f aca="false">L9+L10+L11</f>
        <v>5802.75070416044</v>
      </c>
      <c r="M13" s="47" t="n">
        <f aca="false">M9+M10+M11</f>
        <v>5628.83543906782</v>
      </c>
    </row>
    <row r="14" customFormat="false" ht="15" hidden="false" customHeight="false" outlineLevel="0" collapsed="false">
      <c r="A14" s="38" t="s">
        <v>305</v>
      </c>
      <c r="B14" s="39" t="n">
        <f aca="false">B13/B7</f>
        <v>0.0843922456487902</v>
      </c>
      <c r="C14" s="39" t="n">
        <f aca="false">C13/C7</f>
        <v>0.0352639296187683</v>
      </c>
      <c r="D14" s="39" t="n">
        <f aca="false">D13/D7</f>
        <v>0.053131866085726</v>
      </c>
      <c r="E14" s="39" t="n">
        <f aca="false">E13/E7</f>
        <v>0.0522305425745547</v>
      </c>
      <c r="F14" s="39" t="n">
        <f aca="false">F13/F7</f>
        <v>0.048835655659477</v>
      </c>
      <c r="G14" s="39" t="n">
        <f aca="false">G13/G7</f>
        <v>0.0537534242675667</v>
      </c>
      <c r="H14" s="39" t="n">
        <f aca="false">H13/H7</f>
        <v>0.0538707300032458</v>
      </c>
      <c r="I14" s="39" t="n">
        <f aca="false">I13/I7</f>
        <v>0.052484662266117</v>
      </c>
      <c r="J14" s="39" t="n">
        <f aca="false">J13/J7</f>
        <v>0.0503846769087913</v>
      </c>
      <c r="K14" s="39" t="n">
        <f aca="false">K13/K7</f>
        <v>0.0482451051699907</v>
      </c>
      <c r="L14" s="39" t="n">
        <f aca="false">L13/L7</f>
        <v>0.0458324818923399</v>
      </c>
      <c r="M14" s="39" t="n">
        <f aca="false">M13/M7</f>
        <v>0.0433694921691227</v>
      </c>
    </row>
    <row r="15" customFormat="false" ht="15" hidden="false" customHeight="false" outlineLevel="0" collapsed="false">
      <c r="A15" s="6" t="s">
        <v>306</v>
      </c>
      <c r="B15" s="46" t="n">
        <v>-421</v>
      </c>
      <c r="C15" s="46" t="n">
        <v>-478</v>
      </c>
      <c r="D15" s="46" t="n">
        <v>-502</v>
      </c>
      <c r="E15" s="46" t="n">
        <v>-411</v>
      </c>
      <c r="F15" s="46" t="n">
        <v>-445</v>
      </c>
      <c r="G15" s="24" t="n">
        <f aca="false">-'Debt &amp; Interest Schedule'!G51</f>
        <v>-488.313197249618</v>
      </c>
      <c r="H15" s="24" t="n">
        <f aca="false">-'Debt &amp; Interest Schedule'!H51</f>
        <v>-499.481101595137</v>
      </c>
      <c r="I15" s="24" t="n">
        <f aca="false">-'Debt &amp; Interest Schedule'!I51</f>
        <v>-502.592369482486</v>
      </c>
      <c r="J15" s="24" t="n">
        <f aca="false">-'Debt &amp; Interest Schedule'!J51</f>
        <v>-509.655377062586</v>
      </c>
      <c r="K15" s="24" t="n">
        <f aca="false">-'Debt &amp; Interest Schedule'!K51</f>
        <v>-519.090305121658</v>
      </c>
      <c r="L15" s="24" t="n">
        <f aca="false">-'Debt &amp; Interest Schedule'!L51</f>
        <v>-524.125786392077</v>
      </c>
      <c r="M15" s="24" t="n">
        <f aca="false">-'Debt &amp; Interest Schedule'!M51</f>
        <v>-524.125786392077</v>
      </c>
    </row>
    <row r="16" customFormat="false" ht="15" hidden="false" customHeight="false" outlineLevel="0" collapsed="false">
      <c r="A16" s="6" t="s">
        <v>307</v>
      </c>
      <c r="B16" s="46" t="n">
        <v>382</v>
      </c>
      <c r="C16" s="46" t="n">
        <v>48</v>
      </c>
      <c r="D16" s="46" t="n">
        <v>92</v>
      </c>
      <c r="E16" s="46" t="n">
        <v>106</v>
      </c>
      <c r="F16" s="46" t="n">
        <v>95</v>
      </c>
      <c r="G16" s="54" t="n">
        <v>95</v>
      </c>
      <c r="H16" s="54" t="n">
        <v>95</v>
      </c>
      <c r="I16" s="54" t="n">
        <v>95</v>
      </c>
      <c r="J16" s="54" t="n">
        <v>95</v>
      </c>
      <c r="K16" s="54" t="n">
        <v>95</v>
      </c>
      <c r="L16" s="54" t="n">
        <v>95</v>
      </c>
      <c r="M16" s="54" t="n">
        <v>95</v>
      </c>
    </row>
    <row r="17" customFormat="false" ht="15" hidden="false" customHeight="false" outlineLevel="0" collapsed="false">
      <c r="A17" s="45" t="s">
        <v>649</v>
      </c>
      <c r="B17" s="45"/>
      <c r="C17" s="45"/>
      <c r="D17" s="45"/>
      <c r="E17" s="45"/>
      <c r="F17" s="45"/>
      <c r="G17" s="45"/>
      <c r="H17" s="45"/>
      <c r="I17" s="45"/>
      <c r="J17" s="45"/>
      <c r="K17" s="45"/>
      <c r="L17" s="45"/>
      <c r="M17" s="45"/>
    </row>
    <row r="18" customFormat="false" ht="15" hidden="false" customHeight="false" outlineLevel="0" collapsed="false">
      <c r="A18" s="37" t="s">
        <v>308</v>
      </c>
      <c r="B18" s="67" t="n">
        <f aca="false">B13+B15+B16</f>
        <v>8907</v>
      </c>
      <c r="C18" s="67" t="n">
        <f aca="false">C13+C15+C16</f>
        <v>3418</v>
      </c>
      <c r="D18" s="67" t="n">
        <f aca="false">D13+D15+D16</f>
        <v>5297</v>
      </c>
      <c r="E18" s="67" t="n">
        <f aca="false">E13+E15+E16</f>
        <v>5261</v>
      </c>
      <c r="F18" s="67" t="n">
        <f aca="false">F13+F15+F16</f>
        <v>4767</v>
      </c>
      <c r="G18" s="67" t="n">
        <f aca="false">G13+G15+G16</f>
        <v>5520.15323647583</v>
      </c>
      <c r="H18" s="67" t="n">
        <f aca="false">H13+H15+H16</f>
        <v>5743.93922414145</v>
      </c>
      <c r="I18" s="67" t="n">
        <f aca="false">I13+I15+I16</f>
        <v>5753.01868902742</v>
      </c>
      <c r="J18" s="67" t="n">
        <f aca="false">J13+J15+J16</f>
        <v>5652.95318710843</v>
      </c>
      <c r="K18" s="67" t="n">
        <f aca="false">K13+K15+K16</f>
        <v>5536.37423368154</v>
      </c>
      <c r="L18" s="67" t="n">
        <f aca="false">L13+L15+L16</f>
        <v>5373.62491776836</v>
      </c>
      <c r="M18" s="67" t="n">
        <f aca="false">M13+M15+M16</f>
        <v>5199.70965267574</v>
      </c>
    </row>
    <row r="19" customFormat="false" ht="15" hidden="false" customHeight="false" outlineLevel="0" collapsed="false">
      <c r="A19" s="6" t="s">
        <v>309</v>
      </c>
      <c r="B19" s="24" t="n">
        <f aca="false">-B18*Assumptions!B10</f>
        <v>-1959.54</v>
      </c>
      <c r="C19" s="24" t="n">
        <f aca="false">-C18*Assumptions!C10</f>
        <v>-639.166</v>
      </c>
      <c r="D19" s="24" t="n">
        <f aca="false">-D18*Assumptions!D10</f>
        <v>-1160.043</v>
      </c>
      <c r="E19" s="24" t="n">
        <f aca="false">-E18*Assumptions!E10</f>
        <v>-1167.942</v>
      </c>
      <c r="F19" s="24" t="n">
        <f aca="false">-F18*Assumptions!F10</f>
        <v>-1063.041</v>
      </c>
      <c r="G19" s="24" t="n">
        <f aca="false">-G18*Assumptions!G10</f>
        <v>-1242.03447820706</v>
      </c>
      <c r="H19" s="24" t="n">
        <f aca="false">-H18*Assumptions!H10</f>
        <v>-1292.38632543183</v>
      </c>
      <c r="I19" s="24" t="n">
        <f aca="false">-I18*Assumptions!I10</f>
        <v>-1294.42920503117</v>
      </c>
      <c r="J19" s="24" t="n">
        <f aca="false">-J18*Assumptions!J10</f>
        <v>-1271.9144670994</v>
      </c>
      <c r="K19" s="24" t="n">
        <f aca="false">-K18*Assumptions!K10</f>
        <v>-1245.68420257835</v>
      </c>
      <c r="L19" s="24" t="n">
        <f aca="false">-L18*Assumptions!L10</f>
        <v>-1209.06560649788</v>
      </c>
      <c r="M19" s="24" t="n">
        <f aca="false">-M18*Assumptions!M10</f>
        <v>-1169.93467185204</v>
      </c>
    </row>
    <row r="20" customFormat="false" ht="15" hidden="false" customHeight="false" outlineLevel="0" collapsed="false">
      <c r="A20" s="37" t="s">
        <v>311</v>
      </c>
      <c r="B20" s="47" t="n">
        <f aca="false">B18+B19</f>
        <v>6947.46</v>
      </c>
      <c r="C20" s="47" t="n">
        <f aca="false">C18+C19</f>
        <v>2778.834</v>
      </c>
      <c r="D20" s="47" t="n">
        <f aca="false">D18+D19</f>
        <v>4136.957</v>
      </c>
      <c r="E20" s="47" t="n">
        <f aca="false">E18+E19</f>
        <v>4093.058</v>
      </c>
      <c r="F20" s="47" t="n">
        <f aca="false">F18+F19</f>
        <v>3703.959</v>
      </c>
      <c r="G20" s="47" t="n">
        <f aca="false">G18+G19</f>
        <v>4278.11875826877</v>
      </c>
      <c r="H20" s="47" t="n">
        <f aca="false">H18+H19</f>
        <v>4451.55289870962</v>
      </c>
      <c r="I20" s="47" t="n">
        <f aca="false">I18+I19</f>
        <v>4458.58948399625</v>
      </c>
      <c r="J20" s="47" t="n">
        <f aca="false">J18+J19</f>
        <v>4381.03872000903</v>
      </c>
      <c r="K20" s="47" t="n">
        <f aca="false">K18+K19</f>
        <v>4290.69003110319</v>
      </c>
      <c r="L20" s="47" t="n">
        <f aca="false">L18+L19</f>
        <v>4164.55931127048</v>
      </c>
      <c r="M20" s="47" t="n">
        <f aca="false">M18+M19</f>
        <v>4029.7749808237</v>
      </c>
    </row>
    <row r="21" customFormat="false" ht="15" hidden="false" customHeight="false" outlineLevel="0" collapsed="false">
      <c r="A21" s="38" t="s">
        <v>312</v>
      </c>
      <c r="B21" s="39" t="n">
        <f aca="false">B20/B7</f>
        <v>0.0655389840101882</v>
      </c>
      <c r="C21" s="39" t="n">
        <f aca="false">C20/C7</f>
        <v>0.0254658541055718</v>
      </c>
      <c r="D21" s="39" t="n">
        <f aca="false">D20/D7</f>
        <v>0.0385148493650616</v>
      </c>
      <c r="E21" s="39" t="n">
        <f aca="false">E20/E7</f>
        <v>0.0384086669294146</v>
      </c>
      <c r="F21" s="39" t="n">
        <f aca="false">F20/F7</f>
        <v>0.035349866386715</v>
      </c>
      <c r="G21" s="39" t="n">
        <f aca="false">G20/G7</f>
        <v>0.0388881099195453</v>
      </c>
      <c r="H21" s="39" t="n">
        <f aca="false">H20/H7</f>
        <v>0.039003254754354</v>
      </c>
      <c r="I21" s="39" t="n">
        <f aca="false">I20/I7</f>
        <v>0.0379844728109495</v>
      </c>
      <c r="J21" s="39" t="n">
        <f aca="false">J20/J7</f>
        <v>0.0363796078962648</v>
      </c>
      <c r="K21" s="39" t="n">
        <f aca="false">K20/K7</f>
        <v>0.034729640694074</v>
      </c>
      <c r="L21" s="39" t="n">
        <f aca="false">L20/L7</f>
        <v>0.0328933809075287</v>
      </c>
      <c r="M21" s="39" t="n">
        <f aca="false">M20/M7</f>
        <v>0.0310489259041304</v>
      </c>
    </row>
  </sheetData>
  <mergeCells count="4">
    <mergeCell ref="A1:M1"/>
    <mergeCell ref="A2:M2"/>
    <mergeCell ref="A12:M12"/>
    <mergeCell ref="A17:M17"/>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3" min="2" style="0" width="12"/>
  </cols>
  <sheetData>
    <row r="1" customFormat="false" ht="21.75" hidden="false" customHeight="true" outlineLevel="0" collapsed="false">
      <c r="A1" s="19" t="s">
        <v>650</v>
      </c>
      <c r="B1" s="19"/>
      <c r="C1" s="19"/>
      <c r="D1" s="19"/>
      <c r="E1" s="19"/>
      <c r="F1" s="19"/>
      <c r="G1" s="19"/>
      <c r="H1" s="19"/>
      <c r="I1" s="19"/>
      <c r="J1" s="19"/>
      <c r="K1" s="19"/>
      <c r="L1" s="19"/>
      <c r="M1" s="19"/>
    </row>
    <row r="2" customFormat="false" ht="15.75" hidden="false" customHeight="true" outlineLevel="0" collapsed="false">
      <c r="A2" s="20" t="s">
        <v>651</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652</v>
      </c>
      <c r="B7" s="5"/>
      <c r="C7" s="5"/>
      <c r="D7" s="5"/>
      <c r="E7" s="5"/>
      <c r="F7" s="5"/>
      <c r="G7" s="5"/>
      <c r="H7" s="5"/>
      <c r="I7" s="5"/>
      <c r="J7" s="5"/>
      <c r="K7" s="5"/>
      <c r="L7" s="5"/>
      <c r="M7" s="5"/>
    </row>
    <row r="8" customFormat="false" ht="15" hidden="false" customHeight="false" outlineLevel="0" collapsed="false">
      <c r="A8" s="6" t="s">
        <v>322</v>
      </c>
      <c r="B8" s="46" t="n">
        <v>5911</v>
      </c>
      <c r="C8" s="24" t="n">
        <f aca="false">'Cash Flow Statement'!C27</f>
        <v>2229</v>
      </c>
      <c r="D8" s="24" t="n">
        <f aca="false">'Cash Flow Statement'!D27</f>
        <v>3805</v>
      </c>
      <c r="E8" s="24" t="n">
        <f aca="false">'Cash Flow Statement'!E27</f>
        <v>4762</v>
      </c>
      <c r="F8" s="24" t="n">
        <f aca="false">'Cash Flow Statement'!F27</f>
        <v>5488</v>
      </c>
      <c r="G8" s="24" t="n">
        <f aca="false">'Cash Flow Statement'!G27</f>
        <v>5893.40541226112</v>
      </c>
      <c r="H8" s="24" t="n">
        <f aca="false">'Cash Flow Statement'!H27</f>
        <v>6443.77430796191</v>
      </c>
      <c r="I8" s="24" t="n">
        <f aca="false">'Cash Flow Statement'!I27</f>
        <v>7028.18095539072</v>
      </c>
      <c r="J8" s="24" t="n">
        <f aca="false">'Cash Flow Statement'!J27</f>
        <v>7592.01838042832</v>
      </c>
      <c r="K8" s="24" t="n">
        <f aca="false">'Cash Flow Statement'!K27</f>
        <v>8174.90927088804</v>
      </c>
      <c r="L8" s="24" t="n">
        <f aca="false">'Cash Flow Statement'!L27</f>
        <v>8773.49635478772</v>
      </c>
      <c r="M8" s="24" t="n">
        <f aca="false">'Cash Flow Statement'!M27</f>
        <v>9388.36143228311</v>
      </c>
    </row>
    <row r="9" customFormat="false" ht="15" hidden="false" customHeight="false" outlineLevel="0" collapsed="false">
      <c r="A9" s="6" t="s">
        <v>323</v>
      </c>
      <c r="B9" s="24" t="n">
        <f aca="false">'Working Capital Schedule'!B12</f>
        <v>13902</v>
      </c>
      <c r="C9" s="24" t="n">
        <f aca="false">'Working Capital Schedule'!C12</f>
        <v>13499</v>
      </c>
      <c r="D9" s="24" t="n">
        <f aca="false">'Working Capital Schedule'!D12</f>
        <v>11886</v>
      </c>
      <c r="E9" s="24" t="n">
        <f aca="false">'Working Capital Schedule'!E12</f>
        <v>12740</v>
      </c>
      <c r="F9" s="24" t="n">
        <f aca="false">'Working Capital Schedule'!F12</f>
        <v>12304</v>
      </c>
      <c r="G9" s="24" t="n">
        <f aca="false">'Working Capital Schedule'!G19</f>
        <v>12761.8990421906</v>
      </c>
      <c r="H9" s="24" t="n">
        <f aca="false">'Working Capital Schedule'!H19</f>
        <v>12880.0757032927</v>
      </c>
      <c r="I9" s="24" t="n">
        <f aca="false">'Working Capital Schedule'!I19</f>
        <v>12877.467206594</v>
      </c>
      <c r="J9" s="24" t="n">
        <f aca="false">'Working Capital Schedule'!J19</f>
        <v>13193.206773289</v>
      </c>
      <c r="K9" s="24" t="n">
        <f aca="false">'Working Capital Schedule'!K19</f>
        <v>13516.0414114426</v>
      </c>
      <c r="L9" s="24" t="n">
        <f aca="false">'Working Capital Schedule'!L19</f>
        <v>13831.6412831066</v>
      </c>
      <c r="M9" s="24" t="n">
        <f aca="false">'Working Capital Schedule'!M19</f>
        <v>14159.1458580929</v>
      </c>
    </row>
    <row r="10" customFormat="false" ht="15" hidden="false" customHeight="false" outlineLevel="0" collapsed="false">
      <c r="A10" s="6" t="s">
        <v>653</v>
      </c>
      <c r="B10" s="24" t="n">
        <f aca="false">'Working Capital Schedule'!B32</f>
        <v>1760</v>
      </c>
      <c r="C10" s="24" t="n">
        <f aca="false">'Working Capital Schedule'!C32</f>
        <v>2118</v>
      </c>
      <c r="D10" s="24" t="n">
        <f aca="false">'Working Capital Schedule'!D32</f>
        <v>1807</v>
      </c>
      <c r="E10" s="24" t="n">
        <f aca="false">'Working Capital Schedule'!E32</f>
        <v>1952</v>
      </c>
      <c r="F10" s="24" t="n">
        <f aca="false">'Working Capital Schedule'!F32</f>
        <v>2213</v>
      </c>
      <c r="G10" s="24" t="n">
        <f aca="false">'Working Capital Schedule'!G34</f>
        <v>2323.48043790329</v>
      </c>
      <c r="H10" s="24" t="n">
        <f aca="false">'Working Capital Schedule'!H34</f>
        <v>2410.53648229199</v>
      </c>
      <c r="I10" s="24" t="n">
        <f aca="false">'Working Capital Schedule'!I34</f>
        <v>2479.10204728804</v>
      </c>
      <c r="J10" s="24" t="n">
        <f aca="false">'Working Capital Schedule'!J34</f>
        <v>2543.44351641199</v>
      </c>
      <c r="K10" s="24" t="n">
        <f aca="false">'Working Capital Schedule'!K34</f>
        <v>2609.33518755901</v>
      </c>
      <c r="L10" s="24" t="n">
        <f aca="false">'Working Capital Schedule'!L34</f>
        <v>2674.0132643688</v>
      </c>
      <c r="M10" s="24" t="n">
        <f aca="false">'Working Capital Schedule'!M34</f>
        <v>2741.17798385461</v>
      </c>
    </row>
    <row r="11" customFormat="false" ht="15" hidden="false" customHeight="false" outlineLevel="0" collapsed="false">
      <c r="A11" s="37" t="s">
        <v>324</v>
      </c>
      <c r="B11" s="67" t="n">
        <f aca="false">B8+B9+B10</f>
        <v>21573</v>
      </c>
      <c r="C11" s="67" t="n">
        <f aca="false">C8+C9+C10</f>
        <v>17846</v>
      </c>
      <c r="D11" s="67" t="n">
        <f aca="false">D8+D9+D10</f>
        <v>17498</v>
      </c>
      <c r="E11" s="67" t="n">
        <f aca="false">E8+E9+E10</f>
        <v>19454</v>
      </c>
      <c r="F11" s="67" t="n">
        <f aca="false">F8+F9+F10</f>
        <v>20005</v>
      </c>
      <c r="G11" s="67" t="n">
        <f aca="false">G8+G9+G10</f>
        <v>20978.784892355</v>
      </c>
      <c r="H11" s="67" t="n">
        <f aca="false">H8+H9+H10</f>
        <v>21734.3864935466</v>
      </c>
      <c r="I11" s="67" t="n">
        <f aca="false">I8+I9+I10</f>
        <v>22384.7502092728</v>
      </c>
      <c r="J11" s="67" t="n">
        <f aca="false">J8+J9+J10</f>
        <v>23328.6686701293</v>
      </c>
      <c r="K11" s="67" t="n">
        <f aca="false">K8+K9+K10</f>
        <v>24300.2858698896</v>
      </c>
      <c r="L11" s="67" t="n">
        <f aca="false">L8+L9+L10</f>
        <v>25279.1509022631</v>
      </c>
      <c r="M11" s="67" t="n">
        <f aca="false">M8+M9+M10</f>
        <v>26288.6852742306</v>
      </c>
    </row>
    <row r="12" customFormat="false" ht="15" hidden="false" customHeight="false" outlineLevel="0" collapsed="false">
      <c r="A12" s="6" t="s">
        <v>325</v>
      </c>
      <c r="B12" s="24" t="n">
        <f aca="false">'PP&amp;E-Capex Schedule'!B59</f>
        <v>28181</v>
      </c>
      <c r="C12" s="24" t="n">
        <f aca="false">'PP&amp;E-Capex Schedule'!C59</f>
        <v>31512</v>
      </c>
      <c r="D12" s="24" t="n">
        <f aca="false">'PP&amp;E-Capex Schedule'!D59</f>
        <v>33096</v>
      </c>
      <c r="E12" s="24" t="n">
        <f aca="false">'PP&amp;E-Capex Schedule'!E59</f>
        <v>33022</v>
      </c>
      <c r="F12" s="24" t="n">
        <f aca="false">'PP&amp;E-Capex Schedule'!F59</f>
        <v>33749</v>
      </c>
      <c r="G12" s="24" t="n">
        <f aca="false">'PP&amp;E-Capex Schedule'!G59</f>
        <v>35340.7449433962</v>
      </c>
      <c r="H12" s="24" t="n">
        <f aca="false">'PP&amp;E-Capex Schedule'!H59</f>
        <v>36874.1061177019</v>
      </c>
      <c r="I12" s="24" t="n">
        <f aca="false">'PP&amp;E-Capex Schedule'!I59</f>
        <v>38291.7000121917</v>
      </c>
      <c r="J12" s="24" t="n">
        <f aca="false">'PP&amp;E-Capex Schedule'!J59</f>
        <v>39341.1413220446</v>
      </c>
      <c r="K12" s="24" t="n">
        <f aca="false">'PP&amp;E-Capex Schedule'!K59</f>
        <v>40244.28176219</v>
      </c>
      <c r="L12" s="24" t="n">
        <f aca="false">'PP&amp;E-Capex Schedule'!L59</f>
        <v>40968.4854790545</v>
      </c>
      <c r="M12" s="24" t="n">
        <f aca="false">'PP&amp;E-Capex Schedule'!M59</f>
        <v>41512.7041830937</v>
      </c>
    </row>
    <row r="13" customFormat="false" ht="15" hidden="false" customHeight="false" outlineLevel="0" collapsed="false">
      <c r="A13" s="6" t="s">
        <v>654</v>
      </c>
      <c r="B13" s="46" t="n">
        <v>2556</v>
      </c>
      <c r="C13" s="46" t="n">
        <v>2657</v>
      </c>
      <c r="D13" s="46" t="n">
        <v>3362</v>
      </c>
      <c r="E13" s="46" t="n">
        <v>3763</v>
      </c>
      <c r="F13" s="46" t="n">
        <v>3703</v>
      </c>
      <c r="G13" s="71" t="n">
        <f aca="false">F13</f>
        <v>3703</v>
      </c>
      <c r="H13" s="71" t="n">
        <f aca="false">F13</f>
        <v>3703</v>
      </c>
      <c r="I13" s="71" t="n">
        <f aca="false">F13</f>
        <v>3703</v>
      </c>
      <c r="J13" s="71" t="n">
        <f aca="false">F13</f>
        <v>3703</v>
      </c>
      <c r="K13" s="71" t="n">
        <f aca="false">F13</f>
        <v>3703</v>
      </c>
      <c r="L13" s="71" t="n">
        <f aca="false">F13</f>
        <v>3703</v>
      </c>
      <c r="M13" s="71" t="n">
        <f aca="false">F13</f>
        <v>3703</v>
      </c>
    </row>
    <row r="14" customFormat="false" ht="15" hidden="false" customHeight="false" outlineLevel="0" collapsed="false">
      <c r="A14" s="6" t="s">
        <v>655</v>
      </c>
      <c r="B14" s="46" t="n">
        <v>1501</v>
      </c>
      <c r="C14" s="46" t="n">
        <v>1320</v>
      </c>
      <c r="D14" s="46" t="n">
        <v>1400</v>
      </c>
      <c r="E14" s="46" t="n">
        <v>1530</v>
      </c>
      <c r="F14" s="46" t="n">
        <v>2033</v>
      </c>
      <c r="G14" s="71" t="n">
        <f aca="false">F14</f>
        <v>2033</v>
      </c>
      <c r="H14" s="71" t="n">
        <f aca="false">F14</f>
        <v>2033</v>
      </c>
      <c r="I14" s="71" t="n">
        <f aca="false">F14</f>
        <v>2033</v>
      </c>
      <c r="J14" s="71" t="n">
        <f aca="false">F14</f>
        <v>2033</v>
      </c>
      <c r="K14" s="71" t="n">
        <f aca="false">F14</f>
        <v>2033</v>
      </c>
      <c r="L14" s="71" t="n">
        <f aca="false">F14</f>
        <v>2033</v>
      </c>
      <c r="M14" s="71" t="n">
        <f aca="false">F14</f>
        <v>2033</v>
      </c>
    </row>
    <row r="15" customFormat="false" ht="15" hidden="false" customHeight="false" outlineLevel="0" collapsed="false">
      <c r="A15" s="45" t="s">
        <v>656</v>
      </c>
      <c r="B15" s="45"/>
      <c r="C15" s="45"/>
      <c r="D15" s="45"/>
      <c r="E15" s="45"/>
      <c r="F15" s="45"/>
      <c r="G15" s="45"/>
      <c r="H15" s="45"/>
      <c r="I15" s="45"/>
      <c r="J15" s="45"/>
      <c r="K15" s="45"/>
      <c r="L15" s="45"/>
      <c r="M15" s="45"/>
    </row>
    <row r="16" customFormat="false" ht="15" hidden="false" customHeight="false" outlineLevel="0" collapsed="false">
      <c r="A16" s="37" t="s">
        <v>326</v>
      </c>
      <c r="B16" s="47" t="n">
        <f aca="false">B11+B12+B13+B14</f>
        <v>53811</v>
      </c>
      <c r="C16" s="47" t="n">
        <f aca="false">C11+C12+C13+C14</f>
        <v>53335</v>
      </c>
      <c r="D16" s="47" t="n">
        <f aca="false">D11+D12+D13+D14</f>
        <v>55356</v>
      </c>
      <c r="E16" s="47" t="n">
        <f aca="false">E11+E12+E13+E14</f>
        <v>57769</v>
      </c>
      <c r="F16" s="47" t="n">
        <f aca="false">F11+F12+F13+F14</f>
        <v>59490</v>
      </c>
      <c r="G16" s="47" t="n">
        <f aca="false">G11+G12+G13+G14</f>
        <v>62055.5298357512</v>
      </c>
      <c r="H16" s="47" t="n">
        <f aca="false">H11+H12+H13+H14</f>
        <v>64344.4926112485</v>
      </c>
      <c r="I16" s="47" t="n">
        <f aca="false">I11+I12+I13+I14</f>
        <v>66412.4502214644</v>
      </c>
      <c r="J16" s="47" t="n">
        <f aca="false">J11+J12+J13+J14</f>
        <v>68405.8099921739</v>
      </c>
      <c r="K16" s="47" t="n">
        <f aca="false">K11+K12+K13+K14</f>
        <v>70280.5676320796</v>
      </c>
      <c r="L16" s="47" t="n">
        <f aca="false">L11+L12+L13+L14</f>
        <v>71983.6363813176</v>
      </c>
      <c r="M16" s="47" t="n">
        <f aca="false">M11+M12+M13+M14</f>
        <v>73537.3894573243</v>
      </c>
    </row>
    <row r="18" customFormat="false" ht="15.75" hidden="false" customHeight="true" outlineLevel="0" collapsed="false">
      <c r="A18" s="5" t="s">
        <v>657</v>
      </c>
      <c r="B18" s="5"/>
      <c r="C18" s="5"/>
      <c r="D18" s="5"/>
      <c r="E18" s="5"/>
      <c r="F18" s="5"/>
      <c r="G18" s="5"/>
      <c r="H18" s="5"/>
      <c r="I18" s="5"/>
      <c r="J18" s="5"/>
      <c r="K18" s="5"/>
      <c r="L18" s="5"/>
      <c r="M18" s="5"/>
    </row>
    <row r="19" customFormat="false" ht="15" hidden="false" customHeight="false" outlineLevel="0" collapsed="false">
      <c r="A19" s="6" t="s">
        <v>327</v>
      </c>
      <c r="B19" s="24" t="n">
        <f aca="false">'Working Capital Schedule'!B22</f>
        <v>15478</v>
      </c>
      <c r="C19" s="24" t="n">
        <f aca="false">'Working Capital Schedule'!C22</f>
        <v>13487</v>
      </c>
      <c r="D19" s="24" t="n">
        <f aca="false">'Working Capital Schedule'!D22</f>
        <v>12098</v>
      </c>
      <c r="E19" s="24" t="n">
        <f aca="false">'Working Capital Schedule'!E22</f>
        <v>13053</v>
      </c>
      <c r="F19" s="24" t="n">
        <f aca="false">'Working Capital Schedule'!F22</f>
        <v>12622</v>
      </c>
      <c r="G19" s="24" t="n">
        <f aca="false">'Working Capital Schedule'!G29</f>
        <v>13194.5057893835</v>
      </c>
      <c r="H19" s="24" t="n">
        <f aca="false">'Working Capital Schedule'!H29</f>
        <v>13664.0803113193</v>
      </c>
      <c r="I19" s="24" t="n">
        <f aca="false">'Working Capital Schedule'!I29</f>
        <v>14027.2410643256</v>
      </c>
      <c r="J19" s="24" t="n">
        <f aca="false">'Working Capital Schedule'!J29</f>
        <v>14371.1716637612</v>
      </c>
      <c r="K19" s="24" t="n">
        <f aca="false">'Working Capital Schedule'!K29</f>
        <v>14722.8308231785</v>
      </c>
      <c r="L19" s="24" t="n">
        <f aca="false">'Working Capital Schedule'!L29</f>
        <v>15066.6092548125</v>
      </c>
      <c r="M19" s="24" t="n">
        <f aca="false">'Working Capital Schedule'!M29</f>
        <v>15423.3553097083</v>
      </c>
    </row>
    <row r="20" customFormat="false" ht="15" hidden="false" customHeight="false" outlineLevel="0" collapsed="false">
      <c r="A20" s="6" t="s">
        <v>658</v>
      </c>
      <c r="B20" s="24" t="n">
        <f aca="false">'Working Capital Schedule'!B36</f>
        <v>6098</v>
      </c>
      <c r="C20" s="24" t="n">
        <f aca="false">'Working Capital Schedule'!C36</f>
        <v>5883</v>
      </c>
      <c r="D20" s="24" t="n">
        <f aca="false">'Working Capital Schedule'!D36</f>
        <v>6090</v>
      </c>
      <c r="E20" s="24" t="n">
        <f aca="false">'Working Capital Schedule'!E36</f>
        <v>6110</v>
      </c>
      <c r="F20" s="24" t="n">
        <f aca="false">'Working Capital Schedule'!F36</f>
        <v>6478</v>
      </c>
      <c r="G20" s="24" t="n">
        <f aca="false">'Working Capital Schedule'!G38</f>
        <v>6801.40364967803</v>
      </c>
      <c r="H20" s="24" t="n">
        <f aca="false">'Working Capital Schedule'!H38</f>
        <v>7056.23828842634</v>
      </c>
      <c r="I20" s="24" t="n">
        <f aca="false">'Working Capital Schedule'!I38</f>
        <v>7256.94670688292</v>
      </c>
      <c r="J20" s="24" t="n">
        <f aca="false">'Working Capital Schedule'!J38</f>
        <v>7445.29014881016</v>
      </c>
      <c r="K20" s="24" t="n">
        <f aca="false">'Working Capital Schedule'!K38</f>
        <v>7638.17141663231</v>
      </c>
      <c r="L20" s="24" t="n">
        <f aca="false">'Working Capital Schedule'!L38</f>
        <v>7827.50019276144</v>
      </c>
      <c r="M20" s="24" t="n">
        <f aca="false">'Working Capital Schedule'!M38</f>
        <v>8024.10798888845</v>
      </c>
    </row>
    <row r="21" customFormat="false" ht="15" hidden="false" customHeight="false" outlineLevel="0" collapsed="false">
      <c r="A21" s="6" t="s">
        <v>659</v>
      </c>
      <c r="B21" s="46" t="n">
        <v>171</v>
      </c>
      <c r="C21" s="46" t="n">
        <v>130</v>
      </c>
      <c r="D21" s="46" t="n">
        <v>1116</v>
      </c>
      <c r="E21" s="46" t="n">
        <v>1636</v>
      </c>
      <c r="F21" s="24" t="n">
        <f aca="false">'Debt &amp; Interest Schedule'!F41</f>
        <v>2130</v>
      </c>
      <c r="G21" s="24" t="n">
        <f aca="false">'Debt &amp; Interest Schedule'!G41</f>
        <v>97</v>
      </c>
      <c r="H21" s="24" t="n">
        <f aca="false">'Debt &amp; Interest Schedule'!H41</f>
        <v>581</v>
      </c>
      <c r="I21" s="24" t="n">
        <f aca="false">'Debt &amp; Interest Schedule'!I41</f>
        <v>1000</v>
      </c>
      <c r="J21" s="24" t="n">
        <f aca="false">'Debt &amp; Interest Schedule'!J41</f>
        <v>1230</v>
      </c>
      <c r="K21" s="24" t="n">
        <f aca="false">'Debt &amp; Interest Schedule'!K41</f>
        <v>0</v>
      </c>
      <c r="L21" s="24" t="n">
        <f aca="false">'Debt &amp; Interest Schedule'!L41</f>
        <v>0</v>
      </c>
      <c r="M21" s="24" t="n">
        <f aca="false">'Debt &amp; Interest Schedule'!M41</f>
        <v>0</v>
      </c>
    </row>
    <row r="22" customFormat="false" ht="15" hidden="false" customHeight="false" outlineLevel="0" collapsed="false">
      <c r="A22" s="37" t="s">
        <v>328</v>
      </c>
      <c r="B22" s="67" t="n">
        <f aca="false">B19+B20+B21</f>
        <v>21747</v>
      </c>
      <c r="C22" s="67" t="n">
        <f aca="false">C19+C20+C21</f>
        <v>19500</v>
      </c>
      <c r="D22" s="67" t="n">
        <f aca="false">D19+D20+D21</f>
        <v>19304</v>
      </c>
      <c r="E22" s="67" t="n">
        <f aca="false">E19+E20+E21</f>
        <v>20799</v>
      </c>
      <c r="F22" s="67" t="n">
        <f aca="false">F19+F20+F21</f>
        <v>21230</v>
      </c>
      <c r="G22" s="67" t="n">
        <f aca="false">G19+G20+G21</f>
        <v>20092.9094390615</v>
      </c>
      <c r="H22" s="67" t="n">
        <f aca="false">H19+H20+H21</f>
        <v>21301.3185997456</v>
      </c>
      <c r="I22" s="67" t="n">
        <f aca="false">I19+I20+I21</f>
        <v>22284.1877712085</v>
      </c>
      <c r="J22" s="67" t="n">
        <f aca="false">J19+J20+J21</f>
        <v>23046.4618125714</v>
      </c>
      <c r="K22" s="67" t="n">
        <f aca="false">K19+K20+K21</f>
        <v>22361.0022398108</v>
      </c>
      <c r="L22" s="67" t="n">
        <f aca="false">L19+L20+L21</f>
        <v>22894.1094475739</v>
      </c>
      <c r="M22" s="67" t="n">
        <f aca="false">M19+M20+M21</f>
        <v>23447.4632985968</v>
      </c>
    </row>
    <row r="23" customFormat="false" ht="15" hidden="false" customHeight="false" outlineLevel="0" collapsed="false">
      <c r="A23" s="6" t="s">
        <v>329</v>
      </c>
      <c r="B23" s="46" t="n">
        <v>13549</v>
      </c>
      <c r="C23" s="46" t="n">
        <v>16009</v>
      </c>
      <c r="D23" s="46" t="n">
        <v>14922</v>
      </c>
      <c r="E23" s="46" t="n">
        <v>14304</v>
      </c>
      <c r="F23" s="24" t="n">
        <f aca="false">'Debt &amp; Interest Schedule'!F43</f>
        <v>14326</v>
      </c>
      <c r="G23" s="24" t="n">
        <f aca="false">'Debt &amp; Interest Schedule'!G43</f>
        <v>16359</v>
      </c>
      <c r="H23" s="24" t="n">
        <f aca="false">'Debt &amp; Interest Schedule'!H43</f>
        <v>15875</v>
      </c>
      <c r="I23" s="24" t="n">
        <f aca="false">'Debt &amp; Interest Schedule'!I43</f>
        <v>15456</v>
      </c>
      <c r="J23" s="24" t="n">
        <f aca="false">'Debt &amp; Interest Schedule'!J43</f>
        <v>15226</v>
      </c>
      <c r="K23" s="24" t="n">
        <f aca="false">'Debt &amp; Interest Schedule'!K43</f>
        <v>16456</v>
      </c>
      <c r="L23" s="24" t="n">
        <f aca="false">'Debt &amp; Interest Schedule'!L43</f>
        <v>16456</v>
      </c>
      <c r="M23" s="24" t="n">
        <f aca="false">'Debt &amp; Interest Schedule'!M43</f>
        <v>16456</v>
      </c>
    </row>
    <row r="24" customFormat="false" ht="15" hidden="false" customHeight="false" outlineLevel="0" collapsed="false">
      <c r="A24" s="6" t="s">
        <v>660</v>
      </c>
      <c r="B24" s="46" t="n">
        <v>2493</v>
      </c>
      <c r="C24" s="46" t="n">
        <v>2638</v>
      </c>
      <c r="D24" s="46" t="n">
        <v>3279</v>
      </c>
      <c r="E24" s="46" t="n">
        <v>3582</v>
      </c>
      <c r="F24" s="46" t="n">
        <v>3462</v>
      </c>
      <c r="G24" s="71" t="n">
        <f aca="false">F24</f>
        <v>3462</v>
      </c>
      <c r="H24" s="71" t="n">
        <f aca="false">F24</f>
        <v>3462</v>
      </c>
      <c r="I24" s="71" t="n">
        <f aca="false">F24</f>
        <v>3462</v>
      </c>
      <c r="J24" s="71" t="n">
        <f aca="false">F24</f>
        <v>3462</v>
      </c>
      <c r="K24" s="71" t="n">
        <f aca="false">F24</f>
        <v>3462</v>
      </c>
      <c r="L24" s="71" t="n">
        <f aca="false">F24</f>
        <v>3462</v>
      </c>
      <c r="M24" s="71" t="n">
        <f aca="false">F24</f>
        <v>3462</v>
      </c>
    </row>
    <row r="25" customFormat="false" ht="15" hidden="false" customHeight="false" outlineLevel="0" collapsed="false">
      <c r="A25" s="6" t="s">
        <v>661</v>
      </c>
      <c r="B25" s="46" t="n">
        <v>1566</v>
      </c>
      <c r="C25" s="46" t="n">
        <v>2196</v>
      </c>
      <c r="D25" s="46" t="n">
        <v>2480</v>
      </c>
      <c r="E25" s="46" t="n">
        <v>2303</v>
      </c>
      <c r="F25" s="46" t="n">
        <v>2265</v>
      </c>
      <c r="G25" s="71" t="n">
        <f aca="false">F25</f>
        <v>2265</v>
      </c>
      <c r="H25" s="71" t="n">
        <f aca="false">F25</f>
        <v>2265</v>
      </c>
      <c r="I25" s="71" t="n">
        <f aca="false">F25</f>
        <v>2265</v>
      </c>
      <c r="J25" s="71" t="n">
        <f aca="false">F25</f>
        <v>2265</v>
      </c>
      <c r="K25" s="71" t="n">
        <f aca="false">F25</f>
        <v>2265</v>
      </c>
      <c r="L25" s="71" t="n">
        <f aca="false">F25</f>
        <v>2265</v>
      </c>
      <c r="M25" s="71" t="n">
        <f aca="false">F25</f>
        <v>2265</v>
      </c>
    </row>
    <row r="26" customFormat="false" ht="15" hidden="false" customHeight="false" outlineLevel="0" collapsed="false">
      <c r="A26" s="6" t="s">
        <v>662</v>
      </c>
      <c r="B26" s="46" t="n">
        <v>1629</v>
      </c>
      <c r="C26" s="46" t="n">
        <v>1760</v>
      </c>
      <c r="D26" s="46" t="n">
        <v>1939</v>
      </c>
      <c r="E26" s="46" t="n">
        <v>2115</v>
      </c>
      <c r="F26" s="46" t="n">
        <v>2042</v>
      </c>
      <c r="G26" s="71" t="n">
        <f aca="false">F26</f>
        <v>2042</v>
      </c>
      <c r="H26" s="71" t="n">
        <f aca="false">F26</f>
        <v>2042</v>
      </c>
      <c r="I26" s="71" t="n">
        <f aca="false">F26</f>
        <v>2042</v>
      </c>
      <c r="J26" s="71" t="n">
        <f aca="false">F26</f>
        <v>2042</v>
      </c>
      <c r="K26" s="71" t="n">
        <f aca="false">F26</f>
        <v>2042</v>
      </c>
      <c r="L26" s="71" t="n">
        <f aca="false">F26</f>
        <v>2042</v>
      </c>
      <c r="M26" s="71" t="n">
        <f aca="false">F26</f>
        <v>2042</v>
      </c>
    </row>
    <row r="27" customFormat="false" ht="15" hidden="false" customHeight="false" outlineLevel="0" collapsed="false">
      <c r="A27" s="37" t="s">
        <v>330</v>
      </c>
      <c r="B27" s="67" t="n">
        <f aca="false">B22+B23+B24+B25+B26</f>
        <v>40984</v>
      </c>
      <c r="C27" s="67" t="n">
        <f aca="false">C22+C23+C24+C25+C26</f>
        <v>42103</v>
      </c>
      <c r="D27" s="67" t="n">
        <f aca="false">D22+D23+D24+D25+D26</f>
        <v>41924</v>
      </c>
      <c r="E27" s="67" t="n">
        <f aca="false">E22+E23+E24+E25+E26</f>
        <v>43103</v>
      </c>
      <c r="F27" s="67" t="n">
        <f aca="false">F22+F23+F24+F25+F26</f>
        <v>43325</v>
      </c>
      <c r="G27" s="67" t="n">
        <f aca="false">G22+G23+G24+G25+G26</f>
        <v>44220.9094390615</v>
      </c>
      <c r="H27" s="67" t="n">
        <f aca="false">H22+H23+H24+H25+H26</f>
        <v>44945.3185997456</v>
      </c>
      <c r="I27" s="67" t="n">
        <f aca="false">I22+I23+I24+I25+I26</f>
        <v>45509.1877712085</v>
      </c>
      <c r="J27" s="67" t="n">
        <f aca="false">J22+J23+J24+J25+J26</f>
        <v>46041.4618125713</v>
      </c>
      <c r="K27" s="67" t="n">
        <f aca="false">K22+K23+K24+K25+K26</f>
        <v>46586.0022398108</v>
      </c>
      <c r="L27" s="67" t="n">
        <f aca="false">L22+L23+L24+L25+L26</f>
        <v>47119.1094475739</v>
      </c>
      <c r="M27" s="67" t="n">
        <f aca="false">M22+M23+M24+M25+M26</f>
        <v>47672.4632985968</v>
      </c>
    </row>
    <row r="29" customFormat="false" ht="15.75" hidden="false" customHeight="true" outlineLevel="0" collapsed="false">
      <c r="A29" s="5" t="s">
        <v>663</v>
      </c>
      <c r="B29" s="5"/>
      <c r="C29" s="5"/>
      <c r="D29" s="5"/>
      <c r="E29" s="5"/>
      <c r="F29" s="5"/>
      <c r="G29" s="5"/>
      <c r="H29" s="5"/>
      <c r="I29" s="5"/>
      <c r="J29" s="5"/>
      <c r="K29" s="5"/>
      <c r="L29" s="5"/>
      <c r="M29" s="5"/>
    </row>
    <row r="30" customFormat="false" ht="15" hidden="false" customHeight="false" outlineLevel="0" collapsed="false">
      <c r="A30" s="6" t="s">
        <v>664</v>
      </c>
      <c r="B30" s="46" t="n">
        <v>39</v>
      </c>
      <c r="C30" s="46" t="n">
        <v>38</v>
      </c>
      <c r="D30" s="46" t="n">
        <v>38</v>
      </c>
      <c r="E30" s="46" t="n">
        <v>38</v>
      </c>
      <c r="F30" s="46" t="n">
        <v>38</v>
      </c>
      <c r="G30" s="71" t="n">
        <f aca="false">F30</f>
        <v>38</v>
      </c>
      <c r="H30" s="71" t="n">
        <f aca="false">F30</f>
        <v>38</v>
      </c>
      <c r="I30" s="71" t="n">
        <f aca="false">F30</f>
        <v>38</v>
      </c>
      <c r="J30" s="71" t="n">
        <f aca="false">F30</f>
        <v>38</v>
      </c>
      <c r="K30" s="71" t="n">
        <f aca="false">F30</f>
        <v>38</v>
      </c>
      <c r="L30" s="71" t="n">
        <f aca="false">F30</f>
        <v>38</v>
      </c>
      <c r="M30" s="71" t="n">
        <f aca="false">F30</f>
        <v>38</v>
      </c>
    </row>
    <row r="31" customFormat="false" ht="15" hidden="false" customHeight="false" outlineLevel="0" collapsed="false">
      <c r="A31" s="38" t="s">
        <v>665</v>
      </c>
      <c r="G31" s="46" t="n">
        <v>7247</v>
      </c>
      <c r="H31" s="71" t="n">
        <f aca="false">G33</f>
        <v>7541.82940404871</v>
      </c>
      <c r="I31" s="71" t="n">
        <f aca="false">H33</f>
        <v>7847.70546089779</v>
      </c>
      <c r="J31" s="71" t="n">
        <f aca="false">I33</f>
        <v>8162.28188997134</v>
      </c>
      <c r="K31" s="71" t="n">
        <f aca="false">J33</f>
        <v>8485.02269034236</v>
      </c>
      <c r="L31" s="71" t="n">
        <f aca="false">K33</f>
        <v>8816.12456912795</v>
      </c>
      <c r="M31" s="71" t="n">
        <f aca="false">L33</f>
        <v>9155.43353179072</v>
      </c>
    </row>
    <row r="32" customFormat="false" ht="15" hidden="false" customHeight="false" outlineLevel="0" collapsed="false">
      <c r="A32" s="6" t="s">
        <v>666</v>
      </c>
      <c r="G32" s="24" t="n">
        <f aca="false">'Capital Allocation'!G10</f>
        <v>294.829404048711</v>
      </c>
      <c r="H32" s="24" t="n">
        <f aca="false">'Capital Allocation'!H10</f>
        <v>305.876056849076</v>
      </c>
      <c r="I32" s="24" t="n">
        <f aca="false">'Capital Allocation'!I10</f>
        <v>314.576429073553</v>
      </c>
      <c r="J32" s="24" t="n">
        <f aca="false">'Capital Allocation'!J10</f>
        <v>322.740800371016</v>
      </c>
      <c r="K32" s="24" t="n">
        <f aca="false">'Capital Allocation'!K10</f>
        <v>331.101878785595</v>
      </c>
      <c r="L32" s="24" t="n">
        <f aca="false">'Capital Allocation'!L10</f>
        <v>339.308962662769</v>
      </c>
      <c r="M32" s="24" t="n">
        <f aca="false">'Capital Allocation'!M10</f>
        <v>347.83157980904</v>
      </c>
    </row>
    <row r="33" customFormat="false" ht="15" hidden="false" customHeight="false" outlineLevel="0" collapsed="false">
      <c r="A33" s="37" t="s">
        <v>667</v>
      </c>
      <c r="B33" s="67" t="n">
        <v>6421</v>
      </c>
      <c r="C33" s="67" t="n">
        <v>6608</v>
      </c>
      <c r="D33" s="67" t="n">
        <v>6761</v>
      </c>
      <c r="E33" s="67" t="n">
        <v>6996</v>
      </c>
      <c r="F33" s="67" t="n">
        <v>7247</v>
      </c>
      <c r="G33" s="67" t="n">
        <f aca="false">G31+G32</f>
        <v>7541.82940404871</v>
      </c>
      <c r="H33" s="67" t="n">
        <f aca="false">H31+H32</f>
        <v>7847.70546089779</v>
      </c>
      <c r="I33" s="67" t="n">
        <f aca="false">I31+I32</f>
        <v>8162.28188997134</v>
      </c>
      <c r="J33" s="67" t="n">
        <f aca="false">J31+J32</f>
        <v>8485.02269034236</v>
      </c>
      <c r="K33" s="67" t="n">
        <f aca="false">K31+K32</f>
        <v>8816.12456912795</v>
      </c>
      <c r="L33" s="67" t="n">
        <f aca="false">L31+L32</f>
        <v>9155.43353179072</v>
      </c>
      <c r="M33" s="67" t="n">
        <f aca="false">M31+M32</f>
        <v>9503.26511159976</v>
      </c>
    </row>
    <row r="34" customFormat="false" ht="15" hidden="false" customHeight="false" outlineLevel="0" collapsed="false">
      <c r="A34" s="38" t="s">
        <v>668</v>
      </c>
      <c r="G34" s="46" t="n">
        <v>9297</v>
      </c>
      <c r="H34" s="71" t="n">
        <f aca="false">G39</f>
        <v>10671.790992641</v>
      </c>
      <c r="I34" s="71" t="n">
        <f aca="false">H39</f>
        <v>11930.4685506051</v>
      </c>
      <c r="J34" s="71" t="n">
        <f aca="false">I39</f>
        <v>13119.9805602845</v>
      </c>
      <c r="K34" s="71" t="n">
        <f aca="false">J39</f>
        <v>14258.3254892602</v>
      </c>
      <c r="L34" s="71" t="n">
        <f aca="false">K39</f>
        <v>15257.4408231408</v>
      </c>
      <c r="M34" s="71" t="n">
        <f aca="false">L39</f>
        <v>16088.093401953</v>
      </c>
    </row>
    <row r="35" customFormat="false" ht="15" hidden="false" customHeight="false" outlineLevel="0" collapsed="false">
      <c r="A35" s="6" t="s">
        <v>669</v>
      </c>
      <c r="G35" s="24" t="n">
        <f aca="false">'Income Statement'!G20</f>
        <v>4278.11875826877</v>
      </c>
      <c r="H35" s="24" t="n">
        <f aca="false">'Income Statement'!H20</f>
        <v>4451.55289870962</v>
      </c>
      <c r="I35" s="24" t="n">
        <f aca="false">'Income Statement'!I20</f>
        <v>4458.58948399625</v>
      </c>
      <c r="J35" s="24" t="n">
        <f aca="false">'Income Statement'!J20</f>
        <v>4381.03872000903</v>
      </c>
      <c r="K35" s="24" t="n">
        <f aca="false">'Income Statement'!K20</f>
        <v>4290.69003110319</v>
      </c>
      <c r="L35" s="24" t="n">
        <f aca="false">'Income Statement'!L20</f>
        <v>4164.55931127048</v>
      </c>
      <c r="M35" s="24" t="n">
        <f aca="false">'Income Statement'!M20</f>
        <v>4029.7749808237</v>
      </c>
    </row>
    <row r="36" customFormat="false" ht="15" hidden="false" customHeight="false" outlineLevel="0" collapsed="false">
      <c r="A36" s="6" t="s">
        <v>670</v>
      </c>
      <c r="G36" s="24" t="n">
        <f aca="false">'Capital Allocation'!G24</f>
        <v>-2150.432</v>
      </c>
      <c r="H36" s="24" t="n">
        <f aca="false">'Capital Allocation'!H24</f>
        <v>-2170.76167730116</v>
      </c>
      <c r="I36" s="24" t="n">
        <f aca="false">'Capital Allocation'!I24</f>
        <v>-2183.75084337761</v>
      </c>
      <c r="J36" s="24" t="n">
        <f aca="false">'Capital Allocation'!J24</f>
        <v>-2195.56714453495</v>
      </c>
      <c r="K36" s="24" t="n">
        <f aca="false">'Capital Allocation'!K24</f>
        <v>-2209.06304351165</v>
      </c>
      <c r="L36" s="24" t="n">
        <f aca="false">'Capital Allocation'!L24</f>
        <v>-2222.24500521611</v>
      </c>
      <c r="M36" s="24" t="n">
        <f aca="false">'Capital Allocation'!M24</f>
        <v>-2235.31504887175</v>
      </c>
    </row>
    <row r="37" customFormat="false" ht="15" hidden="false" customHeight="false" outlineLevel="0" collapsed="false">
      <c r="A37" s="6" t="s">
        <v>671</v>
      </c>
      <c r="G37" s="24" t="n">
        <f aca="false">'Capital Allocation'!G33</f>
        <v>-752.895765627788</v>
      </c>
      <c r="H37" s="24" t="n">
        <f aca="false">'Capital Allocation'!H33</f>
        <v>-1022.11366344432</v>
      </c>
      <c r="I37" s="24" t="n">
        <f aca="false">'Capital Allocation'!I33</f>
        <v>-1085.32663093923</v>
      </c>
      <c r="J37" s="24" t="n">
        <f aca="false">'Capital Allocation'!J33</f>
        <v>-1047.12664649841</v>
      </c>
      <c r="K37" s="24" t="n">
        <f aca="false">'Capital Allocation'!K33</f>
        <v>-1082.5116537109</v>
      </c>
      <c r="L37" s="24" t="n">
        <f aca="false">'Capital Allocation'!L33</f>
        <v>-1111.66172724226</v>
      </c>
      <c r="M37" s="24" t="n">
        <f aca="false">'Capital Allocation'!M33</f>
        <v>-1141.89228677716</v>
      </c>
    </row>
    <row r="38" customFormat="false" ht="15" hidden="false" customHeight="false" outlineLevel="0" collapsed="false">
      <c r="A38" s="16" t="s">
        <v>672</v>
      </c>
      <c r="B38" s="16"/>
      <c r="C38" s="16"/>
      <c r="D38" s="16"/>
      <c r="E38" s="16"/>
      <c r="F38" s="16"/>
      <c r="G38" s="16"/>
      <c r="H38" s="16"/>
      <c r="I38" s="16"/>
      <c r="J38" s="16"/>
      <c r="K38" s="16"/>
      <c r="L38" s="16"/>
      <c r="M38" s="16"/>
    </row>
    <row r="39" customFormat="false" ht="15" hidden="false" customHeight="false" outlineLevel="0" collapsed="false">
      <c r="A39" s="37" t="s">
        <v>673</v>
      </c>
      <c r="B39" s="67" t="n">
        <v>6920</v>
      </c>
      <c r="C39" s="67" t="n">
        <v>5005</v>
      </c>
      <c r="D39" s="67" t="n">
        <v>7093</v>
      </c>
      <c r="E39" s="67" t="n">
        <v>8090</v>
      </c>
      <c r="F39" s="67" t="n">
        <v>9297</v>
      </c>
      <c r="G39" s="67" t="n">
        <f aca="false">G34+G35+G36+G37</f>
        <v>10671.790992641</v>
      </c>
      <c r="H39" s="67" t="n">
        <f aca="false">H34+H35+H36+H37</f>
        <v>11930.4685506051</v>
      </c>
      <c r="I39" s="67" t="n">
        <f aca="false">I34+I35+I36+I37</f>
        <v>13119.9805602845</v>
      </c>
      <c r="J39" s="67" t="n">
        <f aca="false">J34+J35+J36+J37</f>
        <v>14258.3254892602</v>
      </c>
      <c r="K39" s="67" t="n">
        <f aca="false">K34+K35+K36+K37</f>
        <v>15257.4408231408</v>
      </c>
      <c r="L39" s="67" t="n">
        <f aca="false">L34+L35+L36+L37</f>
        <v>16088.093401953</v>
      </c>
      <c r="M39" s="67" t="n">
        <f aca="false">M34+M35+M36+M37</f>
        <v>16740.6610471277</v>
      </c>
    </row>
    <row r="40" customFormat="false" ht="15" hidden="false" customHeight="false" outlineLevel="0" collapsed="false">
      <c r="A40" s="6" t="s">
        <v>674</v>
      </c>
      <c r="B40" s="46" t="n">
        <v>-553</v>
      </c>
      <c r="C40" s="46" t="n">
        <v>-419</v>
      </c>
      <c r="D40" s="46" t="n">
        <v>-460</v>
      </c>
      <c r="E40" s="46" t="n">
        <v>-458</v>
      </c>
      <c r="F40" s="46" t="n">
        <v>-417</v>
      </c>
      <c r="G40" s="71" t="n">
        <f aca="false">F40</f>
        <v>-417</v>
      </c>
      <c r="H40" s="71" t="n">
        <f aca="false">F40</f>
        <v>-417</v>
      </c>
      <c r="I40" s="71" t="n">
        <f aca="false">F40</f>
        <v>-417</v>
      </c>
      <c r="J40" s="71" t="n">
        <f aca="false">F40</f>
        <v>-417</v>
      </c>
      <c r="K40" s="71" t="n">
        <f aca="false">F40</f>
        <v>-417</v>
      </c>
      <c r="L40" s="71" t="n">
        <f aca="false">F40</f>
        <v>-417</v>
      </c>
      <c r="M40" s="71" t="n">
        <f aca="false">F40</f>
        <v>-417</v>
      </c>
    </row>
    <row r="41" customFormat="false" ht="15" hidden="false" customHeight="false" outlineLevel="0" collapsed="false">
      <c r="A41" s="37" t="s">
        <v>331</v>
      </c>
      <c r="B41" s="87" t="n">
        <v>12827</v>
      </c>
      <c r="C41" s="87" t="n">
        <v>11232</v>
      </c>
      <c r="D41" s="87" t="n">
        <v>13432</v>
      </c>
      <c r="E41" s="87" t="n">
        <v>14666</v>
      </c>
      <c r="F41" s="87" t="n">
        <v>16165</v>
      </c>
      <c r="G41" s="47" t="n">
        <f aca="false">G30+G33+G39+G40</f>
        <v>17834.6203966897</v>
      </c>
      <c r="H41" s="47" t="n">
        <f aca="false">H30+H33+H39+H40</f>
        <v>19399.1740115029</v>
      </c>
      <c r="I41" s="47" t="n">
        <f aca="false">I30+I33+I39+I40</f>
        <v>20903.2624502559</v>
      </c>
      <c r="J41" s="47" t="n">
        <f aca="false">J30+J33+J39+J40</f>
        <v>22364.3481796026</v>
      </c>
      <c r="K41" s="47" t="n">
        <f aca="false">K30+K33+K39+K40</f>
        <v>23694.5653922688</v>
      </c>
      <c r="L41" s="47" t="n">
        <f aca="false">L30+L33+L39+L40</f>
        <v>24864.5269337437</v>
      </c>
      <c r="M41" s="47" t="n">
        <f aca="false">M30+M33+M39+M40</f>
        <v>25864.9261587275</v>
      </c>
    </row>
    <row r="42" customFormat="false" ht="15" hidden="false" customHeight="false" outlineLevel="0" collapsed="false">
      <c r="A42" s="37" t="s">
        <v>675</v>
      </c>
      <c r="B42" s="67" t="n">
        <f aca="false">B27+B41</f>
        <v>53811</v>
      </c>
      <c r="C42" s="67" t="n">
        <f aca="false">C27+C41</f>
        <v>53335</v>
      </c>
      <c r="D42" s="67" t="n">
        <f aca="false">D27+D41</f>
        <v>55356</v>
      </c>
      <c r="E42" s="67" t="n">
        <f aca="false">E27+E41</f>
        <v>57769</v>
      </c>
      <c r="F42" s="67" t="n">
        <f aca="false">F27+F41</f>
        <v>59490</v>
      </c>
      <c r="G42" s="67" t="n">
        <f aca="false">G27+G41</f>
        <v>62055.5298357512</v>
      </c>
      <c r="H42" s="67" t="n">
        <f aca="false">H27+H41</f>
        <v>64344.4926112485</v>
      </c>
      <c r="I42" s="67" t="n">
        <f aca="false">I27+I41</f>
        <v>66412.4502214644</v>
      </c>
      <c r="J42" s="67" t="n">
        <f aca="false">J27+J41</f>
        <v>68405.8099921739</v>
      </c>
      <c r="K42" s="67" t="n">
        <f aca="false">K27+K41</f>
        <v>70280.5676320796</v>
      </c>
      <c r="L42" s="67" t="n">
        <f aca="false">L27+L41</f>
        <v>71983.6363813176</v>
      </c>
      <c r="M42" s="67" t="n">
        <f aca="false">M27+M41</f>
        <v>73537.3894573243</v>
      </c>
    </row>
  </sheetData>
  <mergeCells count="4">
    <mergeCell ref="A1:M1"/>
    <mergeCell ref="A2:M2"/>
    <mergeCell ref="A15:M15"/>
    <mergeCell ref="A38:M38"/>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3" min="2" style="0" width="12"/>
  </cols>
  <sheetData>
    <row r="1" customFormat="false" ht="21.75" hidden="false" customHeight="true" outlineLevel="0" collapsed="false">
      <c r="A1" s="19" t="s">
        <v>676</v>
      </c>
      <c r="B1" s="19"/>
      <c r="C1" s="19"/>
      <c r="D1" s="19"/>
      <c r="E1" s="19"/>
      <c r="F1" s="19"/>
      <c r="G1" s="19"/>
      <c r="H1" s="19"/>
      <c r="I1" s="19"/>
      <c r="J1" s="19"/>
      <c r="K1" s="19"/>
      <c r="L1" s="19"/>
      <c r="M1" s="19"/>
    </row>
    <row r="2" customFormat="false" ht="15.75" hidden="false" customHeight="true" outlineLevel="0" collapsed="false">
      <c r="A2" s="20" t="s">
        <v>677</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678</v>
      </c>
      <c r="B7" s="5"/>
      <c r="C7" s="5"/>
      <c r="D7" s="5"/>
      <c r="E7" s="5"/>
      <c r="F7" s="5"/>
      <c r="G7" s="5"/>
      <c r="H7" s="5"/>
      <c r="I7" s="5"/>
      <c r="J7" s="5"/>
      <c r="K7" s="5"/>
      <c r="L7" s="5"/>
      <c r="M7" s="5"/>
    </row>
    <row r="8" customFormat="false" ht="15" hidden="false" customHeight="false" outlineLevel="0" collapsed="false">
      <c r="A8" s="38" t="s">
        <v>311</v>
      </c>
      <c r="B8" s="24" t="n">
        <f aca="false">'Capital Allocation'!B8</f>
        <v>6947.46</v>
      </c>
      <c r="C8" s="24" t="n">
        <f aca="false">'Capital Allocation'!C8</f>
        <v>2778.834</v>
      </c>
      <c r="D8" s="24" t="n">
        <f aca="false">'Capital Allocation'!D8</f>
        <v>4136.957</v>
      </c>
      <c r="E8" s="24" t="n">
        <f aca="false">'Capital Allocation'!E8</f>
        <v>4093.058</v>
      </c>
      <c r="F8" s="24" t="n">
        <f aca="false">'Capital Allocation'!F8</f>
        <v>3703.959</v>
      </c>
      <c r="G8" s="24" t="n">
        <f aca="false">'Capital Allocation'!G8</f>
        <v>4278.11875826877</v>
      </c>
      <c r="H8" s="24" t="n">
        <f aca="false">'Capital Allocation'!H8</f>
        <v>4451.55289870962</v>
      </c>
      <c r="I8" s="24" t="n">
        <f aca="false">'Capital Allocation'!I8</f>
        <v>4458.58948399625</v>
      </c>
      <c r="J8" s="24" t="n">
        <f aca="false">'Capital Allocation'!J8</f>
        <v>4381.03872000903</v>
      </c>
      <c r="K8" s="24" t="n">
        <f aca="false">'Capital Allocation'!K8</f>
        <v>4290.69003110319</v>
      </c>
      <c r="L8" s="24" t="n">
        <f aca="false">'Capital Allocation'!L8</f>
        <v>4164.55931127048</v>
      </c>
      <c r="M8" s="24" t="n">
        <f aca="false">'Capital Allocation'!M8</f>
        <v>4029.7749808237</v>
      </c>
    </row>
    <row r="9" customFormat="false" ht="15" hidden="false" customHeight="false" outlineLevel="0" collapsed="false">
      <c r="A9" s="38" t="s">
        <v>679</v>
      </c>
      <c r="C9" s="24" t="n">
        <f aca="false">'Capital Allocation'!C15-'Capital Allocation'!C8</f>
        <v>1513</v>
      </c>
      <c r="D9" s="24" t="n">
        <f aca="false">'Capital Allocation'!D15-'Capital Allocation'!D8</f>
        <v>4186</v>
      </c>
      <c r="E9" s="24" t="n">
        <f aca="false">'Capital Allocation'!E15-'Capital Allocation'!E8</f>
        <v>3107</v>
      </c>
      <c r="F9" s="24" t="n">
        <f aca="false">'Capital Allocation'!F15-'Capital Allocation'!F8</f>
        <v>3372</v>
      </c>
      <c r="G9" s="24" t="n">
        <f aca="false">'Capital Allocation'!G15-'Capital Allocation'!G8</f>
        <v>4030.61441962013</v>
      </c>
      <c r="H9" s="24" t="n">
        <f aca="false">'Capital Allocation'!H15-'Capital Allocation'!H8</f>
        <v>4412.49794261189</v>
      </c>
      <c r="I9" s="24" t="n">
        <f aca="false">'Capital Allocation'!I15-'Capital Allocation'!I8</f>
        <v>4617.66369037083</v>
      </c>
      <c r="J9" s="24" t="n">
        <f aca="false">'Capital Allocation'!J15-'Capital Allocation'!J8</f>
        <v>4522.09334019233</v>
      </c>
      <c r="K9" s="24" t="n">
        <f aca="false">'Capital Allocation'!K15-'Capital Allocation'!K8</f>
        <v>4798.69899642773</v>
      </c>
      <c r="L9" s="24" t="n">
        <f aca="false">'Capital Allocation'!L15-'Capital Allocation'!L8</f>
        <v>5100.52245830191</v>
      </c>
      <c r="M9" s="24" t="n">
        <f aca="false">'Capital Allocation'!M15-'Capital Allocation'!M8</f>
        <v>5442.92140459098</v>
      </c>
    </row>
    <row r="10" customFormat="false" ht="15" hidden="false" customHeight="false" outlineLevel="0" collapsed="false">
      <c r="A10" s="16" t="s">
        <v>680</v>
      </c>
      <c r="B10" s="16"/>
      <c r="C10" s="16"/>
      <c r="D10" s="16"/>
      <c r="E10" s="16"/>
      <c r="F10" s="16"/>
      <c r="G10" s="16"/>
      <c r="H10" s="16"/>
      <c r="I10" s="16"/>
      <c r="J10" s="16"/>
      <c r="K10" s="16"/>
      <c r="L10" s="16"/>
      <c r="M10" s="16"/>
    </row>
    <row r="11" customFormat="false" ht="15" hidden="false" customHeight="false" outlineLevel="0" collapsed="false">
      <c r="A11" s="37" t="s">
        <v>333</v>
      </c>
      <c r="C11" s="67" t="n">
        <f aca="false">C8+C9</f>
        <v>4291.834</v>
      </c>
      <c r="D11" s="67" t="n">
        <f aca="false">D8+D9</f>
        <v>8322.957</v>
      </c>
      <c r="E11" s="67" t="n">
        <f aca="false">E8+E9</f>
        <v>7200.058</v>
      </c>
      <c r="F11" s="67" t="n">
        <f aca="false">F8+F9</f>
        <v>7075.959</v>
      </c>
      <c r="G11" s="67" t="n">
        <f aca="false">G8+G9</f>
        <v>8308.7331778889</v>
      </c>
      <c r="H11" s="67" t="n">
        <f aca="false">H8+H9</f>
        <v>8864.05084132151</v>
      </c>
      <c r="I11" s="67" t="n">
        <f aca="false">I8+I9</f>
        <v>9076.25317436708</v>
      </c>
      <c r="J11" s="67" t="n">
        <f aca="false">J8+J9</f>
        <v>8903.13206020137</v>
      </c>
      <c r="K11" s="67" t="n">
        <f aca="false">K8+K9</f>
        <v>9089.38902753092</v>
      </c>
      <c r="L11" s="67" t="n">
        <f aca="false">L8+L9</f>
        <v>9265.08176957239</v>
      </c>
      <c r="M11" s="67" t="n">
        <f aca="false">M8+M9</f>
        <v>9472.69638541467</v>
      </c>
    </row>
    <row r="13" customFormat="false" ht="15.75" hidden="false" customHeight="true" outlineLevel="0" collapsed="false">
      <c r="A13" s="5" t="s">
        <v>681</v>
      </c>
      <c r="B13" s="5"/>
      <c r="C13" s="5"/>
      <c r="D13" s="5"/>
      <c r="E13" s="5"/>
      <c r="F13" s="5"/>
      <c r="G13" s="5"/>
      <c r="H13" s="5"/>
      <c r="I13" s="5"/>
      <c r="J13" s="5"/>
      <c r="K13" s="5"/>
      <c r="L13" s="5"/>
      <c r="M13" s="5"/>
    </row>
    <row r="14" customFormat="false" ht="15" hidden="false" customHeight="false" outlineLevel="0" collapsed="false">
      <c r="A14" s="38" t="s">
        <v>335</v>
      </c>
      <c r="B14" s="24" t="n">
        <f aca="false">'Capital Allocation'!B16</f>
        <v>-3544</v>
      </c>
      <c r="C14" s="24" t="n">
        <f aca="false">'Capital Allocation'!C16</f>
        <v>-5528</v>
      </c>
      <c r="D14" s="24" t="n">
        <f aca="false">'Capital Allocation'!D16</f>
        <v>-4806</v>
      </c>
      <c r="E14" s="24" t="n">
        <f aca="false">'Capital Allocation'!E16</f>
        <v>-2891</v>
      </c>
      <c r="F14" s="24" t="n">
        <f aca="false">'Capital Allocation'!F16</f>
        <v>-3727</v>
      </c>
      <c r="G14" s="24" t="n">
        <f aca="false">'Capital Allocation'!G16</f>
        <v>-5000</v>
      </c>
      <c r="H14" s="24" t="n">
        <f aca="false">'Capital Allocation'!H16</f>
        <v>-5120.80660487524</v>
      </c>
      <c r="I14" s="24" t="n">
        <f aca="false">'Capital Allocation'!I16</f>
        <v>-5222.76905262143</v>
      </c>
      <c r="J14" s="24" t="n">
        <f aca="false">'Capital Allocation'!J16</f>
        <v>-5096.6008441304</v>
      </c>
      <c r="K14" s="24" t="n">
        <f aca="false">'Capital Allocation'!K16</f>
        <v>-5214.92343984866</v>
      </c>
      <c r="L14" s="24" t="n">
        <f aca="false">'Capital Allocation'!L16</f>
        <v>-5332.58795321434</v>
      </c>
      <c r="M14" s="24" t="n">
        <f aca="false">'Capital Allocation'!M16</f>
        <v>-5480.62397227038</v>
      </c>
    </row>
    <row r="15" customFormat="false" ht="15" hidden="false" customHeight="false" outlineLevel="0" collapsed="false">
      <c r="A15" s="37" t="s">
        <v>682</v>
      </c>
      <c r="C15" s="67" t="n">
        <f aca="false">C14</f>
        <v>-5528</v>
      </c>
      <c r="D15" s="67" t="n">
        <f aca="false">D14</f>
        <v>-4806</v>
      </c>
      <c r="E15" s="67" t="n">
        <f aca="false">E14</f>
        <v>-2891</v>
      </c>
      <c r="F15" s="67" t="n">
        <f aca="false">F14</f>
        <v>-3727</v>
      </c>
      <c r="G15" s="67" t="n">
        <f aca="false">G14</f>
        <v>-5000</v>
      </c>
      <c r="H15" s="67" t="n">
        <f aca="false">H14</f>
        <v>-5120.80660487524</v>
      </c>
      <c r="I15" s="67" t="n">
        <f aca="false">I14</f>
        <v>-5222.76905262143</v>
      </c>
      <c r="J15" s="67" t="n">
        <f aca="false">J14</f>
        <v>-5096.6008441304</v>
      </c>
      <c r="K15" s="67" t="n">
        <f aca="false">K14</f>
        <v>-5214.92343984866</v>
      </c>
      <c r="L15" s="67" t="n">
        <f aca="false">L14</f>
        <v>-5332.58795321434</v>
      </c>
      <c r="M15" s="67" t="n">
        <f aca="false">M14</f>
        <v>-5480.62397227038</v>
      </c>
    </row>
    <row r="17" customFormat="false" ht="15.75" hidden="false" customHeight="true" outlineLevel="0" collapsed="false">
      <c r="A17" s="5" t="s">
        <v>683</v>
      </c>
      <c r="B17" s="5"/>
      <c r="C17" s="5"/>
      <c r="D17" s="5"/>
      <c r="E17" s="5"/>
      <c r="F17" s="5"/>
      <c r="G17" s="5"/>
      <c r="H17" s="5"/>
      <c r="I17" s="5"/>
      <c r="J17" s="5"/>
      <c r="K17" s="5"/>
      <c r="L17" s="5"/>
      <c r="M17" s="5"/>
    </row>
    <row r="18" customFormat="false" ht="15" hidden="false" customHeight="false" outlineLevel="0" collapsed="false">
      <c r="A18" s="38" t="s">
        <v>336</v>
      </c>
      <c r="B18" s="46" t="n">
        <v>-1548</v>
      </c>
      <c r="C18" s="46" t="n">
        <v>-1836</v>
      </c>
      <c r="D18" s="46" t="n">
        <v>-2011</v>
      </c>
      <c r="E18" s="46" t="n">
        <v>-2046</v>
      </c>
      <c r="F18" s="46" t="n">
        <v>-2053</v>
      </c>
      <c r="G18" s="46" t="n">
        <f aca="false">'Capital Allocation'!G24</f>
        <v>-2150.432</v>
      </c>
      <c r="H18" s="46" t="n">
        <f aca="false">'Capital Allocation'!H24</f>
        <v>-2170.76167730116</v>
      </c>
      <c r="I18" s="46" t="n">
        <f aca="false">'Capital Allocation'!I24</f>
        <v>-2183.75084337761</v>
      </c>
      <c r="J18" s="46" t="n">
        <f aca="false">'Capital Allocation'!J24</f>
        <v>-2195.56714453495</v>
      </c>
      <c r="K18" s="46" t="n">
        <f aca="false">'Capital Allocation'!K24</f>
        <v>-2209.06304351165</v>
      </c>
      <c r="L18" s="46" t="n">
        <f aca="false">'Capital Allocation'!L24</f>
        <v>-2222.24500521611</v>
      </c>
      <c r="M18" s="46" t="n">
        <f aca="false">'Capital Allocation'!M24</f>
        <v>-2235.31504887175</v>
      </c>
    </row>
    <row r="19" customFormat="false" ht="15" hidden="false" customHeight="false" outlineLevel="0" collapsed="false">
      <c r="A19" s="38" t="s">
        <v>684</v>
      </c>
      <c r="B19" s="46" t="n">
        <v>-7356</v>
      </c>
      <c r="C19" s="46" t="n">
        <v>-2646</v>
      </c>
      <c r="D19" s="46" t="n">
        <v>0</v>
      </c>
      <c r="E19" s="46" t="n">
        <v>-1007</v>
      </c>
      <c r="F19" s="46" t="n">
        <v>-408</v>
      </c>
      <c r="G19" s="46" t="n">
        <f aca="false">'Capital Allocation'!G33</f>
        <v>-752.895765627788</v>
      </c>
      <c r="H19" s="46" t="n">
        <f aca="false">'Capital Allocation'!H33</f>
        <v>-1022.11366344432</v>
      </c>
      <c r="I19" s="46" t="n">
        <f aca="false">'Capital Allocation'!I33</f>
        <v>-1085.32663093923</v>
      </c>
      <c r="J19" s="46" t="n">
        <f aca="false">'Capital Allocation'!J33</f>
        <v>-1047.12664649841</v>
      </c>
      <c r="K19" s="46" t="n">
        <f aca="false">'Capital Allocation'!K33</f>
        <v>-1082.5116537109</v>
      </c>
      <c r="L19" s="46" t="n">
        <f aca="false">'Capital Allocation'!L33</f>
        <v>-1111.66172724226</v>
      </c>
      <c r="M19" s="46" t="n">
        <f aca="false">'Capital Allocation'!M33</f>
        <v>-1141.89228677716</v>
      </c>
    </row>
    <row r="20" customFormat="false" ht="15" hidden="false" customHeight="false" outlineLevel="0" collapsed="false">
      <c r="A20" s="38" t="s">
        <v>685</v>
      </c>
      <c r="B20" s="46" t="n">
        <v>825</v>
      </c>
      <c r="C20" s="46" t="n">
        <v>2462</v>
      </c>
      <c r="D20" s="46" t="n">
        <v>-147</v>
      </c>
      <c r="E20" s="46" t="n">
        <v>-398</v>
      </c>
      <c r="F20" s="46" t="n">
        <v>341</v>
      </c>
      <c r="G20" s="73" t="n">
        <v>0</v>
      </c>
      <c r="H20" s="73" t="n">
        <v>0</v>
      </c>
      <c r="I20" s="73" t="n">
        <v>0</v>
      </c>
      <c r="J20" s="73" t="n">
        <v>0</v>
      </c>
      <c r="K20" s="73" t="n">
        <v>0</v>
      </c>
      <c r="L20" s="73" t="n">
        <v>0</v>
      </c>
      <c r="M20" s="73" t="n">
        <v>0</v>
      </c>
    </row>
    <row r="21" customFormat="false" ht="15" hidden="false" customHeight="false" outlineLevel="0" collapsed="false">
      <c r="A21" s="16" t="s">
        <v>686</v>
      </c>
      <c r="B21" s="16"/>
      <c r="C21" s="16"/>
      <c r="D21" s="16"/>
      <c r="E21" s="16"/>
      <c r="F21" s="16"/>
      <c r="G21" s="16"/>
      <c r="H21" s="16"/>
      <c r="I21" s="16"/>
      <c r="J21" s="16"/>
      <c r="K21" s="16"/>
      <c r="L21" s="16"/>
      <c r="M21" s="16"/>
    </row>
    <row r="22" customFormat="false" ht="15" hidden="false" customHeight="false" outlineLevel="0" collapsed="false">
      <c r="A22" s="37" t="s">
        <v>687</v>
      </c>
      <c r="C22" s="67" t="n">
        <f aca="false">C18+C19+C20</f>
        <v>-2020</v>
      </c>
      <c r="D22" s="67" t="n">
        <f aca="false">D18+D19+D20</f>
        <v>-2158</v>
      </c>
      <c r="E22" s="67" t="n">
        <f aca="false">E18+E19+E20</f>
        <v>-3451</v>
      </c>
      <c r="F22" s="67" t="n">
        <f aca="false">F18+F19+F20</f>
        <v>-2120</v>
      </c>
      <c r="G22" s="67" t="n">
        <f aca="false">G18+G19+G20</f>
        <v>-2903.32776562779</v>
      </c>
      <c r="H22" s="67" t="n">
        <f aca="false">H18+H19+H20</f>
        <v>-3192.87534074548</v>
      </c>
      <c r="I22" s="67" t="n">
        <f aca="false">I18+I19+I20</f>
        <v>-3269.07747431683</v>
      </c>
      <c r="J22" s="67" t="n">
        <f aca="false">J18+J19+J20</f>
        <v>-3242.69379103336</v>
      </c>
      <c r="K22" s="67" t="n">
        <f aca="false">K18+K19+K20</f>
        <v>-3291.57469722255</v>
      </c>
      <c r="L22" s="67" t="n">
        <f aca="false">L18+L19+L20</f>
        <v>-3333.90673245837</v>
      </c>
      <c r="M22" s="67" t="n">
        <f aca="false">M18+M19+M20</f>
        <v>-3377.20733564891</v>
      </c>
    </row>
    <row r="24" customFormat="false" ht="15.75" hidden="false" customHeight="true" outlineLevel="0" collapsed="false">
      <c r="A24" s="5" t="s">
        <v>688</v>
      </c>
      <c r="B24" s="5"/>
      <c r="C24" s="5"/>
      <c r="D24" s="5"/>
      <c r="E24" s="5"/>
      <c r="F24" s="5"/>
      <c r="G24" s="5"/>
      <c r="H24" s="5"/>
      <c r="I24" s="5"/>
      <c r="J24" s="5"/>
      <c r="K24" s="5"/>
      <c r="L24" s="5"/>
      <c r="M24" s="5"/>
    </row>
    <row r="25" customFormat="false" ht="15" hidden="false" customHeight="false" outlineLevel="0" collapsed="false">
      <c r="A25" s="37" t="s">
        <v>689</v>
      </c>
      <c r="C25" s="67" t="n">
        <f aca="false">C11+C15+C22</f>
        <v>-3256.166</v>
      </c>
      <c r="D25" s="67" t="n">
        <f aca="false">D11+D15+D22</f>
        <v>1358.957</v>
      </c>
      <c r="E25" s="67" t="n">
        <f aca="false">E11+E15+E22</f>
        <v>858.058</v>
      </c>
      <c r="F25" s="67" t="n">
        <f aca="false">F11+F15+F22</f>
        <v>1228.959</v>
      </c>
      <c r="G25" s="67" t="n">
        <f aca="false">G11+G15+G22</f>
        <v>405.405412261116</v>
      </c>
      <c r="H25" s="67" t="n">
        <f aca="false">H11+H15+H22</f>
        <v>550.368895700789</v>
      </c>
      <c r="I25" s="67" t="n">
        <f aca="false">I11+I15+I22</f>
        <v>584.406647428814</v>
      </c>
      <c r="J25" s="67" t="n">
        <f aca="false">J11+J15+J22</f>
        <v>563.837425037605</v>
      </c>
      <c r="K25" s="67" t="n">
        <f aca="false">K11+K15+K22</f>
        <v>582.890890459715</v>
      </c>
      <c r="L25" s="67" t="n">
        <f aca="false">L11+L15+L22</f>
        <v>598.587083899679</v>
      </c>
      <c r="M25" s="67" t="n">
        <f aca="false">M11+M15+M22</f>
        <v>614.865077495391</v>
      </c>
    </row>
    <row r="26" customFormat="false" ht="15" hidden="false" customHeight="false" outlineLevel="0" collapsed="false">
      <c r="A26" s="38" t="s">
        <v>690</v>
      </c>
      <c r="C26" s="46" t="n">
        <v>5911</v>
      </c>
      <c r="D26" s="71" t="n">
        <f aca="false">C27</f>
        <v>2229</v>
      </c>
      <c r="E26" s="71" t="n">
        <f aca="false">D27</f>
        <v>3805</v>
      </c>
      <c r="F26" s="71" t="n">
        <f aca="false">E27</f>
        <v>4762</v>
      </c>
      <c r="G26" s="71" t="n">
        <f aca="false">F27</f>
        <v>5488</v>
      </c>
      <c r="H26" s="71" t="n">
        <f aca="false">G27</f>
        <v>5893.40541226112</v>
      </c>
      <c r="I26" s="71" t="n">
        <f aca="false">H27</f>
        <v>6443.77430796191</v>
      </c>
      <c r="J26" s="71" t="n">
        <f aca="false">I27</f>
        <v>7028.18095539072</v>
      </c>
      <c r="K26" s="71" t="n">
        <f aca="false">J27</f>
        <v>7592.01838042832</v>
      </c>
      <c r="L26" s="71" t="n">
        <f aca="false">K27</f>
        <v>8174.90927088804</v>
      </c>
      <c r="M26" s="71" t="n">
        <f aca="false">L27</f>
        <v>8773.49635478772</v>
      </c>
    </row>
    <row r="27" customFormat="false" ht="15" hidden="false" customHeight="false" outlineLevel="0" collapsed="false">
      <c r="A27" s="37" t="s">
        <v>691</v>
      </c>
      <c r="B27" s="67" t="n">
        <v>5911</v>
      </c>
      <c r="C27" s="67" t="n">
        <v>2229</v>
      </c>
      <c r="D27" s="67" t="n">
        <v>3805</v>
      </c>
      <c r="E27" s="67" t="n">
        <v>4762</v>
      </c>
      <c r="F27" s="67" t="n">
        <v>5488</v>
      </c>
      <c r="G27" s="47" t="n">
        <f aca="false">G26+G25</f>
        <v>5893.40541226112</v>
      </c>
      <c r="H27" s="47" t="n">
        <f aca="false">H26+H25</f>
        <v>6443.77430796191</v>
      </c>
      <c r="I27" s="47" t="n">
        <f aca="false">I26+I25</f>
        <v>7028.18095539072</v>
      </c>
      <c r="J27" s="47" t="n">
        <f aca="false">J26+J25</f>
        <v>7592.01838042832</v>
      </c>
      <c r="K27" s="47" t="n">
        <f aca="false">K26+K25</f>
        <v>8174.90927088804</v>
      </c>
      <c r="L27" s="47" t="n">
        <f aca="false">L26+L25</f>
        <v>8773.49635478772</v>
      </c>
      <c r="M27" s="47" t="n">
        <f aca="false">M26+M25</f>
        <v>9388.36143228311</v>
      </c>
    </row>
    <row r="28" customFormat="false" ht="15" hidden="false" customHeight="false" outlineLevel="0" collapsed="false">
      <c r="A28" s="16" t="s">
        <v>692</v>
      </c>
      <c r="B28" s="16"/>
      <c r="C28" s="16"/>
      <c r="D28" s="16"/>
      <c r="E28" s="16"/>
      <c r="F28" s="16"/>
      <c r="G28" s="16"/>
      <c r="H28" s="16"/>
      <c r="I28" s="16"/>
      <c r="J28" s="16"/>
      <c r="K28" s="16"/>
      <c r="L28" s="16"/>
      <c r="M28" s="16"/>
    </row>
  </sheetData>
  <mergeCells count="5">
    <mergeCell ref="A1:M1"/>
    <mergeCell ref="A2:M2"/>
    <mergeCell ref="A10:M10"/>
    <mergeCell ref="A21:M21"/>
    <mergeCell ref="A28:M28"/>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13" min="2" style="0" width="12"/>
  </cols>
  <sheetData>
    <row r="1" customFormat="false" ht="21.75" hidden="false" customHeight="true" outlineLevel="0" collapsed="false">
      <c r="A1" s="19" t="s">
        <v>693</v>
      </c>
      <c r="B1" s="19"/>
      <c r="C1" s="19"/>
      <c r="D1" s="19"/>
      <c r="E1" s="19"/>
      <c r="F1" s="19"/>
      <c r="G1" s="19"/>
      <c r="H1" s="19"/>
      <c r="I1" s="19"/>
      <c r="J1" s="19"/>
      <c r="K1" s="19"/>
      <c r="L1" s="19"/>
      <c r="M1" s="19"/>
    </row>
    <row r="2" customFormat="false" ht="15.75" hidden="false" customHeight="true" outlineLevel="0" collapsed="false">
      <c r="A2" s="20" t="s">
        <v>694</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695</v>
      </c>
      <c r="B7" s="5"/>
      <c r="C7" s="5"/>
      <c r="D7" s="5"/>
      <c r="E7" s="5"/>
      <c r="F7" s="5"/>
      <c r="G7" s="5"/>
      <c r="H7" s="5"/>
      <c r="I7" s="5"/>
      <c r="J7" s="5"/>
      <c r="K7" s="5"/>
      <c r="L7" s="5"/>
      <c r="M7" s="5"/>
    </row>
    <row r="8" customFormat="false" ht="15" hidden="false" customHeight="false" outlineLevel="0" collapsed="false">
      <c r="A8" s="38" t="s">
        <v>311</v>
      </c>
      <c r="B8" s="24" t="n">
        <f aca="false">'Income Statement'!B20</f>
        <v>6947.46</v>
      </c>
      <c r="C8" s="24" t="n">
        <f aca="false">'Income Statement'!C20</f>
        <v>2778.834</v>
      </c>
      <c r="D8" s="24" t="n">
        <f aca="false">'Income Statement'!D20</f>
        <v>4136.957</v>
      </c>
      <c r="E8" s="24" t="n">
        <f aca="false">'Income Statement'!E20</f>
        <v>4093.058</v>
      </c>
      <c r="F8" s="24" t="n">
        <f aca="false">'Income Statement'!F20</f>
        <v>3703.959</v>
      </c>
      <c r="G8" s="24" t="n">
        <f aca="false">'Income Statement'!G20</f>
        <v>4278.11875826877</v>
      </c>
      <c r="H8" s="24" t="n">
        <f aca="false">'Income Statement'!H20</f>
        <v>4451.55289870962</v>
      </c>
      <c r="I8" s="24" t="n">
        <f aca="false">'Income Statement'!I20</f>
        <v>4458.58948399625</v>
      </c>
      <c r="J8" s="24" t="n">
        <f aca="false">'Income Statement'!J20</f>
        <v>4381.03872000903</v>
      </c>
      <c r="K8" s="24" t="n">
        <f aca="false">'Income Statement'!K20</f>
        <v>4290.69003110319</v>
      </c>
      <c r="L8" s="24" t="n">
        <f aca="false">'Income Statement'!L20</f>
        <v>4164.55931127048</v>
      </c>
      <c r="M8" s="24" t="n">
        <f aca="false">'Income Statement'!M20</f>
        <v>4029.7749808237</v>
      </c>
    </row>
    <row r="9" customFormat="false" ht="15" hidden="false" customHeight="false" outlineLevel="0" collapsed="false">
      <c r="A9" s="38" t="s">
        <v>696</v>
      </c>
      <c r="B9" s="46" t="n">
        <v>2642</v>
      </c>
      <c r="C9" s="46" t="n">
        <v>2700</v>
      </c>
      <c r="D9" s="46" t="n">
        <v>2801</v>
      </c>
      <c r="E9" s="46" t="n">
        <v>2981</v>
      </c>
      <c r="F9" s="46" t="n">
        <v>3134</v>
      </c>
      <c r="G9" s="24" t="n">
        <f aca="false">'PP&amp;E-Capex Schedule'!G53</f>
        <v>3408.25505660377</v>
      </c>
      <c r="H9" s="24" t="n">
        <f aca="false">'PP&amp;E-Capex Schedule'!H53</f>
        <v>3587.44543056959</v>
      </c>
      <c r="I9" s="24" t="n">
        <f aca="false">'PP&amp;E-Capex Schedule'!I53</f>
        <v>3805.17515813166</v>
      </c>
      <c r="J9" s="24" t="n">
        <f aca="false">'PP&amp;E-Capex Schedule'!J53</f>
        <v>4047.15953427741</v>
      </c>
      <c r="K9" s="24" t="n">
        <f aca="false">'PP&amp;E-Capex Schedule'!K53</f>
        <v>4311.78299970329</v>
      </c>
      <c r="L9" s="24" t="n">
        <f aca="false">'PP&amp;E-Capex Schedule'!L53</f>
        <v>4608.3842363498</v>
      </c>
      <c r="M9" s="24" t="n">
        <f aca="false">'PP&amp;E-Capex Schedule'!M53</f>
        <v>4936.40526823123</v>
      </c>
    </row>
    <row r="10" customFormat="false" ht="15" hidden="false" customHeight="false" outlineLevel="0" collapsed="false">
      <c r="A10" s="38" t="s">
        <v>697</v>
      </c>
      <c r="B10" s="46" t="n">
        <v>228</v>
      </c>
      <c r="C10" s="46" t="n">
        <v>220</v>
      </c>
      <c r="D10" s="46" t="n">
        <v>251</v>
      </c>
      <c r="E10" s="46" t="n">
        <v>304</v>
      </c>
      <c r="F10" s="46" t="n">
        <v>281</v>
      </c>
      <c r="G10" s="71" t="n">
        <f aca="false">'Income Statement'!G7*0.00268</f>
        <v>294.829404048711</v>
      </c>
      <c r="H10" s="71" t="n">
        <f aca="false">'Income Statement'!H7*0.00268</f>
        <v>305.876056849076</v>
      </c>
      <c r="I10" s="71" t="n">
        <f aca="false">'Income Statement'!I7*0.00268</f>
        <v>314.576429073553</v>
      </c>
      <c r="J10" s="71" t="n">
        <f aca="false">'Income Statement'!J7*0.00268</f>
        <v>322.740800371016</v>
      </c>
      <c r="K10" s="71" t="n">
        <f aca="false">'Income Statement'!K7*0.00268</f>
        <v>331.101878785595</v>
      </c>
      <c r="L10" s="71" t="n">
        <f aca="false">'Income Statement'!L7*0.00268</f>
        <v>339.308962662769</v>
      </c>
      <c r="M10" s="71" t="n">
        <f aca="false">'Income Statement'!M7*0.00268</f>
        <v>347.83157980904</v>
      </c>
    </row>
    <row r="11" customFormat="false" ht="15" hidden="false" customHeight="false" outlineLevel="0" collapsed="false">
      <c r="A11" s="16" t="s">
        <v>698</v>
      </c>
      <c r="B11" s="16"/>
      <c r="C11" s="16"/>
      <c r="D11" s="16"/>
      <c r="E11" s="16"/>
      <c r="F11" s="16"/>
      <c r="G11" s="16"/>
      <c r="H11" s="16"/>
      <c r="I11" s="16"/>
      <c r="J11" s="16"/>
      <c r="K11" s="16"/>
      <c r="L11" s="16"/>
      <c r="M11" s="16"/>
    </row>
    <row r="12" customFormat="false" ht="15" hidden="false" customHeight="false" outlineLevel="0" collapsed="false">
      <c r="A12" s="38" t="s">
        <v>699</v>
      </c>
      <c r="B12" s="46" t="n">
        <v>589</v>
      </c>
      <c r="C12" s="46" t="n">
        <v>754</v>
      </c>
      <c r="D12" s="46" t="n">
        <v>392</v>
      </c>
      <c r="E12" s="46" t="n">
        <v>-154</v>
      </c>
      <c r="F12" s="46" t="n">
        <v>-155</v>
      </c>
      <c r="G12" s="73" t="n">
        <v>0</v>
      </c>
      <c r="H12" s="73" t="n">
        <v>0</v>
      </c>
      <c r="I12" s="73" t="n">
        <v>0</v>
      </c>
      <c r="J12" s="73" t="n">
        <v>0</v>
      </c>
      <c r="K12" s="73" t="n">
        <v>0</v>
      </c>
      <c r="L12" s="73" t="n">
        <v>0</v>
      </c>
      <c r="M12" s="73" t="n">
        <v>0</v>
      </c>
    </row>
    <row r="13" customFormat="false" ht="15" hidden="false" customHeight="false" outlineLevel="0" collapsed="false">
      <c r="A13" s="45" t="s">
        <v>700</v>
      </c>
      <c r="B13" s="45"/>
      <c r="C13" s="45"/>
      <c r="D13" s="45"/>
      <c r="E13" s="45"/>
      <c r="F13" s="45"/>
      <c r="G13" s="45"/>
      <c r="H13" s="45"/>
      <c r="I13" s="45"/>
      <c r="J13" s="45"/>
      <c r="K13" s="45"/>
      <c r="L13" s="45"/>
      <c r="M13" s="45"/>
    </row>
    <row r="14" customFormat="false" ht="15" hidden="false" customHeight="false" outlineLevel="0" collapsed="false">
      <c r="A14" s="38" t="s">
        <v>701</v>
      </c>
      <c r="C14" s="24" t="n">
        <f aca="false">'Working Capital Schedule'!C47</f>
        <v>-2161</v>
      </c>
      <c r="D14" s="24" t="n">
        <f aca="false">'Working Capital Schedule'!D47</f>
        <v>742</v>
      </c>
      <c r="E14" s="24" t="n">
        <f aca="false">'Working Capital Schedule'!E47</f>
        <v>-24</v>
      </c>
      <c r="F14" s="24" t="n">
        <f aca="false">'Working Capital Schedule'!F47</f>
        <v>112</v>
      </c>
      <c r="G14" s="24" t="n">
        <f aca="false">'Working Capital Schedule'!G47</f>
        <v>327.529958967648</v>
      </c>
      <c r="H14" s="24" t="n">
        <f aca="false">'Working Capital Schedule'!H47</f>
        <v>519.176455193221</v>
      </c>
      <c r="I14" s="24" t="n">
        <f aca="false">'Working Capital Schedule'!I47</f>
        <v>497.91210316562</v>
      </c>
      <c r="J14" s="24" t="n">
        <f aca="false">'Working Capital Schedule'!J47</f>
        <v>152.193005543904</v>
      </c>
      <c r="K14" s="24" t="n">
        <f aca="false">'Working Capital Schedule'!K47</f>
        <v>155.814117938845</v>
      </c>
      <c r="L14" s="24" t="n">
        <f aca="false">'Working Capital Schedule'!L47</f>
        <v>152.829259289342</v>
      </c>
      <c r="M14" s="24" t="n">
        <f aca="false">'Working Capital Schedule'!M47</f>
        <v>158.684556550702</v>
      </c>
    </row>
    <row r="15" customFormat="false" ht="15" hidden="false" customHeight="false" outlineLevel="0" collapsed="false">
      <c r="A15" s="37" t="s">
        <v>333</v>
      </c>
      <c r="C15" s="67" t="n">
        <f aca="false">C8+C9+C10+C12+C14</f>
        <v>4291.834</v>
      </c>
      <c r="D15" s="67" t="n">
        <f aca="false">D8+D9+D10+D12+D14</f>
        <v>8322.957</v>
      </c>
      <c r="E15" s="67" t="n">
        <f aca="false">E8+E9+E10+E12+E14</f>
        <v>7200.058</v>
      </c>
      <c r="F15" s="67" t="n">
        <f aca="false">F8+F9+F10+F12+F14</f>
        <v>7075.959</v>
      </c>
      <c r="G15" s="67" t="n">
        <f aca="false">G8+G9+G10+G12+G14</f>
        <v>8308.7331778889</v>
      </c>
      <c r="H15" s="67" t="n">
        <f aca="false">H8+H9+H10+H12+H14</f>
        <v>8864.05084132151</v>
      </c>
      <c r="I15" s="67" t="n">
        <f aca="false">I8+I9+I10+I12+I14</f>
        <v>9076.25317436708</v>
      </c>
      <c r="J15" s="67" t="n">
        <f aca="false">J8+J9+J10+J12+J14</f>
        <v>8903.13206020137</v>
      </c>
      <c r="K15" s="67" t="n">
        <f aca="false">K8+K9+K10+K12+K14</f>
        <v>9089.38902753092</v>
      </c>
      <c r="L15" s="67" t="n">
        <f aca="false">L8+L9+L10+L12+L14</f>
        <v>9265.08176957239</v>
      </c>
      <c r="M15" s="67" t="n">
        <f aca="false">M8+M9+M10+M12+M14</f>
        <v>9472.69638541467</v>
      </c>
    </row>
    <row r="16" customFormat="false" ht="15" hidden="false" customHeight="false" outlineLevel="0" collapsed="false">
      <c r="A16" s="38" t="s">
        <v>702</v>
      </c>
      <c r="B16" s="46" t="n">
        <v>-3544</v>
      </c>
      <c r="C16" s="46" t="n">
        <v>-5528</v>
      </c>
      <c r="D16" s="46" t="n">
        <v>-4806</v>
      </c>
      <c r="E16" s="46" t="n">
        <v>-2891</v>
      </c>
      <c r="F16" s="46" t="n">
        <v>-3727</v>
      </c>
      <c r="G16" s="24" t="n">
        <f aca="false">-'PP&amp;E-Capex Schedule'!G35</f>
        <v>-5000</v>
      </c>
      <c r="H16" s="24" t="n">
        <f aca="false">-'PP&amp;E-Capex Schedule'!H35</f>
        <v>-5120.80660487524</v>
      </c>
      <c r="I16" s="24" t="n">
        <f aca="false">-'PP&amp;E-Capex Schedule'!I35</f>
        <v>-5222.76905262143</v>
      </c>
      <c r="J16" s="24" t="n">
        <f aca="false">-'PP&amp;E-Capex Schedule'!J35</f>
        <v>-5096.6008441304</v>
      </c>
      <c r="K16" s="24" t="n">
        <f aca="false">-'PP&amp;E-Capex Schedule'!K35</f>
        <v>-5214.92343984866</v>
      </c>
      <c r="L16" s="24" t="n">
        <f aca="false">-'PP&amp;E-Capex Schedule'!L35</f>
        <v>-5332.58795321434</v>
      </c>
      <c r="M16" s="24" t="n">
        <f aca="false">-'PP&amp;E-Capex Schedule'!M35</f>
        <v>-5480.62397227038</v>
      </c>
    </row>
    <row r="17" customFormat="false" ht="15" hidden="false" customHeight="false" outlineLevel="0" collapsed="false">
      <c r="A17" s="37" t="s">
        <v>703</v>
      </c>
      <c r="C17" s="47" t="n">
        <f aca="false">C15+C16</f>
        <v>-1236.166</v>
      </c>
      <c r="D17" s="47" t="n">
        <f aca="false">D15+D16</f>
        <v>3516.957</v>
      </c>
      <c r="E17" s="47" t="n">
        <f aca="false">E15+E16</f>
        <v>4309.058</v>
      </c>
      <c r="F17" s="47" t="n">
        <f aca="false">F15+F16</f>
        <v>3348.959</v>
      </c>
      <c r="G17" s="47" t="n">
        <f aca="false">G15+G16</f>
        <v>3308.7331778889</v>
      </c>
      <c r="H17" s="47" t="n">
        <f aca="false">H15+H16</f>
        <v>3743.24423644627</v>
      </c>
      <c r="I17" s="47" t="n">
        <f aca="false">I15+I16</f>
        <v>3853.48412174565</v>
      </c>
      <c r="J17" s="47" t="n">
        <f aca="false">J15+J16</f>
        <v>3806.53121607097</v>
      </c>
      <c r="K17" s="47" t="n">
        <f aca="false">K15+K16</f>
        <v>3874.46558768227</v>
      </c>
      <c r="L17" s="47" t="n">
        <f aca="false">L15+L16</f>
        <v>3932.49381635805</v>
      </c>
      <c r="M17" s="47" t="n">
        <f aca="false">M15+M16</f>
        <v>3992.0724131443</v>
      </c>
    </row>
    <row r="19" customFormat="false" ht="15.75" hidden="false" customHeight="true" outlineLevel="0" collapsed="false">
      <c r="A19" s="5" t="s">
        <v>704</v>
      </c>
      <c r="B19" s="5"/>
      <c r="C19" s="5"/>
      <c r="D19" s="5"/>
      <c r="E19" s="5"/>
      <c r="F19" s="5"/>
      <c r="G19" s="5"/>
      <c r="H19" s="5"/>
      <c r="I19" s="5"/>
      <c r="J19" s="5"/>
      <c r="K19" s="5"/>
      <c r="L19" s="5"/>
      <c r="M19" s="5"/>
    </row>
    <row r="20" customFormat="false" ht="15" hidden="false" customHeight="false" outlineLevel="0" collapsed="false">
      <c r="A20" s="38" t="s">
        <v>703</v>
      </c>
      <c r="G20" s="71" t="n">
        <f aca="false">G17</f>
        <v>3308.7331778889</v>
      </c>
      <c r="H20" s="71" t="n">
        <f aca="false">H17</f>
        <v>3743.24423644627</v>
      </c>
      <c r="I20" s="71" t="n">
        <f aca="false">I17</f>
        <v>3853.48412174565</v>
      </c>
      <c r="J20" s="71" t="n">
        <f aca="false">J17</f>
        <v>3806.53121607097</v>
      </c>
      <c r="K20" s="71" t="n">
        <f aca="false">K17</f>
        <v>3874.46558768227</v>
      </c>
      <c r="L20" s="71" t="n">
        <f aca="false">L17</f>
        <v>3932.49381635805</v>
      </c>
      <c r="M20" s="71" t="n">
        <f aca="false">M17</f>
        <v>3992.0724131443</v>
      </c>
    </row>
    <row r="21" customFormat="false" ht="15" hidden="false" customHeight="false" outlineLevel="0" collapsed="false">
      <c r="A21" s="38" t="s">
        <v>705</v>
      </c>
      <c r="G21" s="88" t="n">
        <v>1.18</v>
      </c>
      <c r="H21" s="88" t="n">
        <v>1.2</v>
      </c>
      <c r="I21" s="88" t="n">
        <v>1.22</v>
      </c>
      <c r="J21" s="88" t="n">
        <v>1.24</v>
      </c>
      <c r="K21" s="88" t="n">
        <v>1.26</v>
      </c>
      <c r="L21" s="88" t="n">
        <v>1.28</v>
      </c>
      <c r="M21" s="88" t="n">
        <v>1.3</v>
      </c>
    </row>
    <row r="22" customFormat="false" ht="15" hidden="false" customHeight="false" outlineLevel="0" collapsed="false">
      <c r="A22" s="16" t="s">
        <v>706</v>
      </c>
      <c r="B22" s="16"/>
      <c r="C22" s="16"/>
      <c r="D22" s="16"/>
      <c r="E22" s="16"/>
      <c r="F22" s="16"/>
      <c r="G22" s="16"/>
      <c r="H22" s="16"/>
      <c r="I22" s="16"/>
      <c r="J22" s="16"/>
      <c r="K22" s="16"/>
      <c r="L22" s="16"/>
      <c r="M22" s="16"/>
    </row>
    <row r="23" customFormat="false" ht="15" hidden="false" customHeight="false" outlineLevel="0" collapsed="false">
      <c r="A23" s="38" t="s">
        <v>707</v>
      </c>
      <c r="G23" s="89" t="n">
        <f aca="false">G37</f>
        <v>455.6</v>
      </c>
      <c r="H23" s="89" t="n">
        <f aca="false">H37</f>
        <v>452.242016104407</v>
      </c>
      <c r="I23" s="89" t="n">
        <f aca="false">I37</f>
        <v>447.489926921641</v>
      </c>
      <c r="J23" s="89" t="n">
        <f aca="false">J37</f>
        <v>442.654666236886</v>
      </c>
      <c r="K23" s="89" t="n">
        <f aca="false">K37</f>
        <v>438.306159426916</v>
      </c>
      <c r="L23" s="89" t="n">
        <f aca="false">L37</f>
        <v>434.032227581271</v>
      </c>
      <c r="M23" s="89" t="n">
        <f aca="false">M37</f>
        <v>429.868278629183</v>
      </c>
    </row>
    <row r="24" customFormat="false" ht="15" hidden="false" customHeight="false" outlineLevel="0" collapsed="false">
      <c r="A24" s="37" t="s">
        <v>708</v>
      </c>
      <c r="G24" s="67" t="n">
        <f aca="false">-G21*4*G23</f>
        <v>-2150.432</v>
      </c>
      <c r="H24" s="67" t="n">
        <f aca="false">-H21*4*H23</f>
        <v>-2170.76167730116</v>
      </c>
      <c r="I24" s="67" t="n">
        <f aca="false">-I21*4*I23</f>
        <v>-2183.75084337761</v>
      </c>
      <c r="J24" s="67" t="n">
        <f aca="false">-J21*4*J23</f>
        <v>-2195.56714453495</v>
      </c>
      <c r="K24" s="67" t="n">
        <f aca="false">-K21*4*K23</f>
        <v>-2209.06304351165</v>
      </c>
      <c r="L24" s="67" t="n">
        <f aca="false">-L21*4*L23</f>
        <v>-2222.24500521611</v>
      </c>
      <c r="M24" s="67" t="n">
        <f aca="false">-M21*4*M23</f>
        <v>-2235.31504887175</v>
      </c>
    </row>
    <row r="25" customFormat="false" ht="15" hidden="false" customHeight="false" outlineLevel="0" collapsed="false">
      <c r="A25" s="38" t="s">
        <v>709</v>
      </c>
      <c r="G25" s="73" t="n">
        <f aca="false">G20+G24</f>
        <v>1158.3011778889</v>
      </c>
      <c r="H25" s="73" t="n">
        <f aca="false">H20+H24</f>
        <v>1572.48255914511</v>
      </c>
      <c r="I25" s="73" t="n">
        <f aca="false">I20+I24</f>
        <v>1669.73327836804</v>
      </c>
      <c r="J25" s="73" t="n">
        <f aca="false">J20+J24</f>
        <v>1610.96407153601</v>
      </c>
      <c r="K25" s="73" t="n">
        <f aca="false">K20+K24</f>
        <v>1665.40254417061</v>
      </c>
      <c r="L25" s="73" t="n">
        <f aca="false">L20+L24</f>
        <v>1710.24881114194</v>
      </c>
      <c r="M25" s="73" t="n">
        <f aca="false">M20+M24</f>
        <v>1756.75736427255</v>
      </c>
    </row>
    <row r="26" customFormat="false" ht="15" hidden="false" customHeight="false" outlineLevel="0" collapsed="false">
      <c r="A26" s="38" t="s">
        <v>710</v>
      </c>
      <c r="G26" s="73" t="n">
        <v>0</v>
      </c>
      <c r="H26" s="73" t="n">
        <v>0</v>
      </c>
      <c r="I26" s="73" t="n">
        <v>0</v>
      </c>
      <c r="J26" s="73" t="n">
        <v>0</v>
      </c>
      <c r="K26" s="73" t="n">
        <v>0</v>
      </c>
      <c r="L26" s="73" t="n">
        <v>0</v>
      </c>
      <c r="M26" s="73" t="n">
        <v>0</v>
      </c>
    </row>
    <row r="27" customFormat="false" ht="15" hidden="false" customHeight="false" outlineLevel="0" collapsed="false">
      <c r="A27" s="38" t="s">
        <v>711</v>
      </c>
      <c r="G27" s="73" t="n">
        <f aca="false">G25+G26</f>
        <v>1158.3011778889</v>
      </c>
      <c r="H27" s="73" t="n">
        <f aca="false">H25+H26</f>
        <v>1572.48255914511</v>
      </c>
      <c r="I27" s="73" t="n">
        <f aca="false">I25+I26</f>
        <v>1669.73327836804</v>
      </c>
      <c r="J27" s="73" t="n">
        <f aca="false">J25+J26</f>
        <v>1610.96407153601</v>
      </c>
      <c r="K27" s="73" t="n">
        <f aca="false">K25+K26</f>
        <v>1665.40254417061</v>
      </c>
      <c r="L27" s="73" t="n">
        <f aca="false">L25+L26</f>
        <v>1710.24881114194</v>
      </c>
      <c r="M27" s="73" t="n">
        <f aca="false">M25+M26</f>
        <v>1756.75736427255</v>
      </c>
    </row>
    <row r="28" customFormat="false" ht="15" hidden="false" customHeight="false" outlineLevel="0" collapsed="false">
      <c r="A28" s="38" t="s">
        <v>712</v>
      </c>
      <c r="G28" s="12" t="n">
        <v>0.9</v>
      </c>
      <c r="H28" s="12" t="n">
        <v>0.9</v>
      </c>
      <c r="I28" s="12" t="n">
        <v>0.9</v>
      </c>
      <c r="J28" s="12" t="n">
        <v>0.9</v>
      </c>
      <c r="K28" s="12" t="n">
        <v>0.9</v>
      </c>
      <c r="L28" s="12" t="n">
        <v>0.9</v>
      </c>
      <c r="M28" s="12" t="n">
        <v>0.9</v>
      </c>
    </row>
    <row r="29" customFormat="false" ht="15" hidden="false" customHeight="false" outlineLevel="0" collapsed="false">
      <c r="G29" s="12" t="n">
        <v>0.65</v>
      </c>
      <c r="H29" s="12" t="n">
        <v>0.65</v>
      </c>
      <c r="I29" s="12" t="n">
        <v>0.65</v>
      </c>
      <c r="J29" s="12" t="n">
        <v>0.65</v>
      </c>
      <c r="K29" s="12" t="n">
        <v>0.65</v>
      </c>
      <c r="L29" s="12" t="n">
        <v>0.65</v>
      </c>
      <c r="M29" s="12" t="n">
        <v>0.65</v>
      </c>
    </row>
    <row r="30" customFormat="false" ht="15" hidden="false" customHeight="false" outlineLevel="0" collapsed="false">
      <c r="G30" s="12" t="n">
        <v>0.2</v>
      </c>
      <c r="H30" s="12" t="n">
        <v>0.2</v>
      </c>
      <c r="I30" s="12" t="n">
        <v>0.3</v>
      </c>
      <c r="J30" s="12" t="n">
        <v>0.4</v>
      </c>
      <c r="K30" s="12" t="n">
        <v>0.4</v>
      </c>
      <c r="L30" s="12" t="n">
        <v>0.4</v>
      </c>
      <c r="M30" s="12" t="n">
        <v>0.4</v>
      </c>
    </row>
    <row r="31" customFormat="false" ht="15" hidden="false" customHeight="false" outlineLevel="0" collapsed="false">
      <c r="A31" s="38" t="s">
        <v>713</v>
      </c>
      <c r="G31" s="43" t="n">
        <f aca="false">CHOOSE(Assumptions!B5,G28,G29,G30)</f>
        <v>0.65</v>
      </c>
      <c r="H31" s="43" t="n">
        <f aca="false">CHOOSE(Assumptions!B5,H28,H29,H30)</f>
        <v>0.65</v>
      </c>
      <c r="I31" s="43" t="n">
        <f aca="false">CHOOSE(Assumptions!B5,I28,I29,I30)</f>
        <v>0.65</v>
      </c>
      <c r="J31" s="43" t="n">
        <f aca="false">CHOOSE(Assumptions!B5,J28,J29,J30)</f>
        <v>0.65</v>
      </c>
      <c r="K31" s="43" t="n">
        <f aca="false">CHOOSE(Assumptions!B5,K28,K29,K30)</f>
        <v>0.65</v>
      </c>
      <c r="L31" s="43" t="n">
        <f aca="false">CHOOSE(Assumptions!B5,L28,L29,L30)</f>
        <v>0.65</v>
      </c>
      <c r="M31" s="43" t="n">
        <f aca="false">CHOOSE(Assumptions!B5,M28,M29,M30)</f>
        <v>0.65</v>
      </c>
    </row>
    <row r="32" customFormat="false" ht="15" hidden="false" customHeight="false" outlineLevel="0" collapsed="false">
      <c r="A32" s="45" t="s">
        <v>714</v>
      </c>
      <c r="B32" s="45"/>
      <c r="C32" s="45"/>
      <c r="D32" s="45"/>
      <c r="E32" s="45"/>
      <c r="F32" s="45"/>
      <c r="G32" s="45"/>
      <c r="H32" s="45"/>
      <c r="I32" s="45"/>
      <c r="J32" s="45"/>
      <c r="K32" s="45"/>
      <c r="L32" s="45"/>
      <c r="M32" s="45"/>
    </row>
    <row r="33" customFormat="false" ht="15" hidden="false" customHeight="false" outlineLevel="0" collapsed="false">
      <c r="A33" s="37" t="s">
        <v>715</v>
      </c>
      <c r="G33" s="67" t="n">
        <f aca="false">-MAX(G27,0)*G31</f>
        <v>-752.895765627788</v>
      </c>
      <c r="H33" s="67" t="n">
        <f aca="false">-MAX(H27,0)*H31</f>
        <v>-1022.11366344432</v>
      </c>
      <c r="I33" s="67" t="n">
        <f aca="false">-MAX(I27,0)*I31</f>
        <v>-1085.32663093923</v>
      </c>
      <c r="J33" s="67" t="n">
        <f aca="false">-MAX(J27,0)*J31</f>
        <v>-1047.12664649841</v>
      </c>
      <c r="K33" s="67" t="n">
        <f aca="false">-MAX(K27,0)*K31</f>
        <v>-1082.5116537109</v>
      </c>
      <c r="L33" s="67" t="n">
        <f aca="false">-MAX(L27,0)*L31</f>
        <v>-1111.66172724226</v>
      </c>
      <c r="M33" s="67" t="n">
        <f aca="false">-MAX(M27,0)*M31</f>
        <v>-1141.89228677716</v>
      </c>
    </row>
    <row r="34" customFormat="false" ht="15" hidden="false" customHeight="false" outlineLevel="0" collapsed="false">
      <c r="A34" s="37" t="s">
        <v>716</v>
      </c>
      <c r="G34" s="47" t="n">
        <f aca="false">G27+G33</f>
        <v>405.405412261116</v>
      </c>
      <c r="H34" s="47" t="n">
        <f aca="false">H27+H33</f>
        <v>550.368895700789</v>
      </c>
      <c r="I34" s="47" t="n">
        <f aca="false">I27+I33</f>
        <v>584.406647428814</v>
      </c>
      <c r="J34" s="47" t="n">
        <f aca="false">J27+J33</f>
        <v>563.837425037605</v>
      </c>
      <c r="K34" s="47" t="n">
        <f aca="false">K27+K33</f>
        <v>582.890890459715</v>
      </c>
      <c r="L34" s="47" t="n">
        <f aca="false">L27+L33</f>
        <v>598.587083899679</v>
      </c>
      <c r="M34" s="47" t="n">
        <f aca="false">M27+M33</f>
        <v>614.865077495392</v>
      </c>
    </row>
    <row r="36" customFormat="false" ht="15.75" hidden="false" customHeight="true" outlineLevel="0" collapsed="false">
      <c r="A36" s="5" t="s">
        <v>717</v>
      </c>
      <c r="B36" s="5"/>
      <c r="C36" s="5"/>
      <c r="D36" s="5"/>
      <c r="E36" s="5"/>
      <c r="F36" s="5"/>
      <c r="G36" s="5"/>
      <c r="H36" s="5"/>
      <c r="I36" s="5"/>
      <c r="J36" s="5"/>
      <c r="K36" s="5"/>
      <c r="L36" s="5"/>
      <c r="M36" s="5"/>
    </row>
    <row r="37" customFormat="false" ht="15" hidden="false" customHeight="false" outlineLevel="0" collapsed="false">
      <c r="A37" s="38" t="s">
        <v>718</v>
      </c>
      <c r="G37" s="90" t="n">
        <v>455.6</v>
      </c>
      <c r="H37" s="89" t="n">
        <f aca="false">G43</f>
        <v>452.242016104407</v>
      </c>
      <c r="I37" s="89" t="n">
        <f aca="false">H43</f>
        <v>447.489926921641</v>
      </c>
      <c r="J37" s="89" t="n">
        <f aca="false">I43</f>
        <v>442.654666236886</v>
      </c>
      <c r="K37" s="89" t="n">
        <f aca="false">J43</f>
        <v>438.306159426916</v>
      </c>
      <c r="L37" s="89" t="n">
        <f aca="false">K43</f>
        <v>434.032227581271</v>
      </c>
      <c r="M37" s="89" t="n">
        <f aca="false">L43</f>
        <v>429.868278629183</v>
      </c>
    </row>
    <row r="38" customFormat="false" ht="15" hidden="false" customHeight="false" outlineLevel="0" collapsed="false">
      <c r="A38" s="38" t="s">
        <v>719</v>
      </c>
      <c r="G38" s="91" t="n">
        <f aca="false">Assumptions!B20/G37</f>
        <v>159.350307287094</v>
      </c>
      <c r="H38" s="92" t="n">
        <f aca="false">G38*1.05</f>
        <v>167.317822651449</v>
      </c>
      <c r="I38" s="92" t="n">
        <f aca="false">H38*1.05</f>
        <v>175.683713784021</v>
      </c>
      <c r="J38" s="92" t="n">
        <f aca="false">I38*1.05</f>
        <v>184.467899473222</v>
      </c>
      <c r="K38" s="92" t="n">
        <f aca="false">J38*1.05</f>
        <v>193.691294446883</v>
      </c>
      <c r="L38" s="92" t="n">
        <f aca="false">K38*1.05</f>
        <v>203.375859169227</v>
      </c>
      <c r="M38" s="92" t="n">
        <f aca="false">L38*1.05</f>
        <v>213.544652127689</v>
      </c>
    </row>
    <row r="39" customFormat="false" ht="15" hidden="false" customHeight="false" outlineLevel="0" collapsed="false">
      <c r="A39" s="45" t="s">
        <v>720</v>
      </c>
      <c r="B39" s="45"/>
      <c r="C39" s="45"/>
      <c r="D39" s="45"/>
      <c r="E39" s="45"/>
      <c r="F39" s="45"/>
      <c r="G39" s="45"/>
      <c r="H39" s="45"/>
      <c r="I39" s="45"/>
      <c r="J39" s="45"/>
      <c r="K39" s="45"/>
      <c r="L39" s="45"/>
      <c r="M39" s="45"/>
    </row>
    <row r="40" customFormat="false" ht="15" hidden="false" customHeight="false" outlineLevel="0" collapsed="false">
      <c r="A40" s="38" t="s">
        <v>721</v>
      </c>
      <c r="G40" s="89" t="n">
        <f aca="false">-G33/G38</f>
        <v>4.72478389559256</v>
      </c>
      <c r="H40" s="89" t="n">
        <f aca="false">-H33/H38</f>
        <v>6.10881523108007</v>
      </c>
      <c r="I40" s="89" t="n">
        <f aca="false">-I33/I38</f>
        <v>6.17773046551991</v>
      </c>
      <c r="J40" s="89" t="n">
        <f aca="false">-J33/J38</f>
        <v>5.6764708086808</v>
      </c>
      <c r="K40" s="89" t="n">
        <f aca="false">-K33/K38</f>
        <v>5.58885032392491</v>
      </c>
      <c r="L40" s="89" t="n">
        <f aca="false">-L33/L38</f>
        <v>5.46604563483249</v>
      </c>
      <c r="M40" s="89" t="n">
        <f aca="false">-M33/M38</f>
        <v>5.34732326658484</v>
      </c>
    </row>
    <row r="41" customFormat="false" ht="15" hidden="false" customHeight="false" outlineLevel="0" collapsed="false">
      <c r="A41" s="38" t="s">
        <v>722</v>
      </c>
      <c r="G41" s="89" t="n">
        <f aca="false">G37*0.003</f>
        <v>1.3668</v>
      </c>
      <c r="H41" s="89" t="n">
        <f aca="false">H37*0.003</f>
        <v>1.35672604831322</v>
      </c>
      <c r="I41" s="89" t="n">
        <f aca="false">I37*0.003</f>
        <v>1.34246978076492</v>
      </c>
      <c r="J41" s="89" t="n">
        <f aca="false">J37*0.003</f>
        <v>1.32796399871066</v>
      </c>
      <c r="K41" s="89" t="n">
        <f aca="false">K37*0.003</f>
        <v>1.31491847828075</v>
      </c>
      <c r="L41" s="89" t="n">
        <f aca="false">L37*0.003</f>
        <v>1.30209668274381</v>
      </c>
      <c r="M41" s="89" t="n">
        <f aca="false">M37*0.003</f>
        <v>1.28960483588755</v>
      </c>
    </row>
    <row r="42" customFormat="false" ht="15" hidden="false" customHeight="false" outlineLevel="0" collapsed="false">
      <c r="A42" s="16" t="s">
        <v>723</v>
      </c>
      <c r="B42" s="16"/>
      <c r="C42" s="16"/>
      <c r="D42" s="16"/>
      <c r="E42" s="16"/>
      <c r="F42" s="16"/>
      <c r="G42" s="16"/>
      <c r="H42" s="16"/>
      <c r="I42" s="16"/>
      <c r="J42" s="16"/>
      <c r="K42" s="16"/>
      <c r="L42" s="16"/>
      <c r="M42" s="16"/>
    </row>
    <row r="43" customFormat="false" ht="15" hidden="false" customHeight="false" outlineLevel="0" collapsed="false">
      <c r="A43" s="37" t="s">
        <v>724</v>
      </c>
      <c r="G43" s="93" t="n">
        <f aca="false">G37-G40+G41</f>
        <v>452.242016104407</v>
      </c>
      <c r="H43" s="93" t="n">
        <f aca="false">H37-H40+H41</f>
        <v>447.489926921641</v>
      </c>
      <c r="I43" s="93" t="n">
        <f aca="false">I37-I40+I41</f>
        <v>442.654666236886</v>
      </c>
      <c r="J43" s="93" t="n">
        <f aca="false">J37-J40+J41</f>
        <v>438.306159426916</v>
      </c>
      <c r="K43" s="93" t="n">
        <f aca="false">K37-K40+K41</f>
        <v>434.032227581271</v>
      </c>
      <c r="L43" s="93" t="n">
        <f aca="false">L37-L40+L41</f>
        <v>429.868278629183</v>
      </c>
      <c r="M43" s="93" t="n">
        <f aca="false">M37-M40+M41</f>
        <v>425.810560198485</v>
      </c>
    </row>
    <row r="44" customFormat="false" ht="15" hidden="false" customHeight="false" outlineLevel="0" collapsed="false">
      <c r="A44" s="37" t="s">
        <v>313</v>
      </c>
      <c r="B44" s="94" t="n">
        <v>14.1</v>
      </c>
      <c r="C44" s="94" t="n">
        <v>5.98</v>
      </c>
      <c r="D44" s="94" t="n">
        <v>8.94</v>
      </c>
      <c r="E44" s="94" t="n">
        <v>8.86</v>
      </c>
      <c r="F44" s="94" t="n">
        <v>8.13</v>
      </c>
      <c r="G44" s="95" t="n">
        <f aca="false">'Income Statement'!G20/AVERAGE(G37,G43)</f>
        <v>9.42480890370415</v>
      </c>
      <c r="H44" s="95" t="n">
        <f aca="false">'Income Statement'!H20/AVERAGE(H37,H43)</f>
        <v>9.8952869978981</v>
      </c>
      <c r="I44" s="95" t="n">
        <f aca="false">'Income Statement'!I20/AVERAGE(I37,I43)</f>
        <v>10.0176746974909</v>
      </c>
      <c r="J44" s="95" t="n">
        <f aca="false">'Income Statement'!J20/AVERAGE(J37,J43)</f>
        <v>9.94604661724416</v>
      </c>
      <c r="K44" s="95" t="n">
        <f aca="false">'Income Statement'!K20/AVERAGE(K37,K43)</f>
        <v>9.83721476666582</v>
      </c>
      <c r="L44" s="95" t="n">
        <f aca="false">'Income Statement'!L20/AVERAGE(L37,L43)</f>
        <v>9.64129383263946</v>
      </c>
      <c r="M44" s="95" t="n">
        <f aca="false">'Income Statement'!M20/AVERAGE(M37,M43)</f>
        <v>9.41889596415574</v>
      </c>
    </row>
  </sheetData>
  <mergeCells count="8">
    <mergeCell ref="A1:M1"/>
    <mergeCell ref="A2:M2"/>
    <mergeCell ref="A11:M11"/>
    <mergeCell ref="A13:M13"/>
    <mergeCell ref="A22:M22"/>
    <mergeCell ref="A32:M32"/>
    <mergeCell ref="A39:M39"/>
    <mergeCell ref="A42:M42"/>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56"/>
    <col collapsed="false" customWidth="true" hidden="false" outlineLevel="0" max="4" min="2" style="0" width="16"/>
    <col collapsed="false" customWidth="true" hidden="false" outlineLevel="0" max="5" min="5" style="0" width="60"/>
  </cols>
  <sheetData>
    <row r="1" customFormat="false" ht="21.75" hidden="false" customHeight="true" outlineLevel="0" collapsed="false">
      <c r="A1" s="19" t="s">
        <v>725</v>
      </c>
      <c r="B1" s="19"/>
      <c r="C1" s="19"/>
      <c r="D1" s="19"/>
      <c r="E1" s="19"/>
    </row>
    <row r="2" customFormat="false" ht="15.75" hidden="false" customHeight="true" outlineLevel="0" collapsed="false">
      <c r="A2" s="20" t="s">
        <v>726</v>
      </c>
      <c r="B2" s="20"/>
      <c r="C2" s="20"/>
      <c r="D2" s="20"/>
      <c r="E2" s="20"/>
    </row>
    <row r="4" customFormat="false" ht="15.75" hidden="false" customHeight="true" outlineLevel="0" collapsed="false">
      <c r="A4" s="5" t="s">
        <v>727</v>
      </c>
      <c r="B4" s="5"/>
      <c r="C4" s="5"/>
      <c r="D4" s="5"/>
      <c r="E4" s="5"/>
    </row>
    <row r="5" customFormat="false" ht="15" hidden="false" customHeight="false" outlineLevel="0" collapsed="false">
      <c r="A5" s="16" t="s">
        <v>728</v>
      </c>
      <c r="B5" s="16"/>
      <c r="C5" s="16"/>
      <c r="D5" s="16"/>
      <c r="E5" s="16"/>
    </row>
    <row r="6" customFormat="false" ht="15" hidden="false" customHeight="false" outlineLevel="0" collapsed="false">
      <c r="A6" s="16" t="s">
        <v>729</v>
      </c>
      <c r="B6" s="16"/>
      <c r="C6" s="16"/>
      <c r="D6" s="16"/>
      <c r="E6" s="16"/>
    </row>
    <row r="8" customFormat="false" ht="15.75" hidden="false" customHeight="true" outlineLevel="0" collapsed="false">
      <c r="A8" s="5" t="s">
        <v>730</v>
      </c>
      <c r="B8" s="5"/>
      <c r="C8" s="5"/>
      <c r="D8" s="5"/>
      <c r="E8" s="5"/>
    </row>
    <row r="9" customFormat="false" ht="15" hidden="false" customHeight="false" outlineLevel="0" collapsed="false">
      <c r="A9" s="31" t="s">
        <v>731</v>
      </c>
      <c r="B9" s="31" t="s">
        <v>95</v>
      </c>
      <c r="C9" s="31" t="s">
        <v>96</v>
      </c>
      <c r="D9" s="31" t="s">
        <v>97</v>
      </c>
      <c r="E9" s="31" t="s">
        <v>732</v>
      </c>
    </row>
    <row r="10" customFormat="false" ht="22.35" hidden="false" customHeight="false" outlineLevel="0" collapsed="false">
      <c r="A10" s="6" t="s">
        <v>733</v>
      </c>
      <c r="B10" s="42" t="n">
        <f aca="false">'Revenue Build'!G9</f>
        <v>35</v>
      </c>
      <c r="C10" s="42" t="n">
        <f aca="false">'Revenue Build'!G10</f>
        <v>32</v>
      </c>
      <c r="D10" s="42" t="n">
        <f aca="false">'Revenue Build'!G11</f>
        <v>25</v>
      </c>
      <c r="E10" s="34" t="s">
        <v>734</v>
      </c>
    </row>
    <row r="11" customFormat="false" ht="32.8" hidden="false" customHeight="false" outlineLevel="0" collapsed="false">
      <c r="A11" s="6" t="s">
        <v>735</v>
      </c>
      <c r="B11" s="25" t="n">
        <f aca="false">'Revenue Build'!G31</f>
        <v>0.035</v>
      </c>
      <c r="C11" s="25" t="n">
        <f aca="false">'Revenue Build'!G32</f>
        <v>0.025</v>
      </c>
      <c r="D11" s="25" t="n">
        <f aca="false">'Revenue Build'!G33</f>
        <v>0.017</v>
      </c>
      <c r="E11" s="34" t="s">
        <v>736</v>
      </c>
    </row>
    <row r="12" customFormat="false" ht="22.35" hidden="false" customHeight="false" outlineLevel="0" collapsed="false">
      <c r="A12" s="6" t="s">
        <v>737</v>
      </c>
      <c r="B12" s="42" t="n">
        <f aca="false">'Revenue Build'!G36</f>
        <v>150</v>
      </c>
      <c r="C12" s="42" t="n">
        <f aca="false">'Revenue Build'!G37</f>
        <v>130</v>
      </c>
      <c r="D12" s="42" t="n">
        <f aca="false">'Revenue Build'!G38</f>
        <v>100</v>
      </c>
      <c r="E12" s="34" t="s">
        <v>738</v>
      </c>
    </row>
    <row r="13" customFormat="false" ht="22.35" hidden="false" customHeight="false" outlineLevel="0" collapsed="false">
      <c r="A13" s="6" t="s">
        <v>739</v>
      </c>
      <c r="B13" s="96" t="n">
        <f aca="false">'Gross Margin Build'!G25</f>
        <v>15</v>
      </c>
      <c r="C13" s="96" t="n">
        <f aca="false">'Gross Margin Build'!G26</f>
        <v>10</v>
      </c>
      <c r="D13" s="96" t="n">
        <f aca="false">'Gross Margin Build'!G27</f>
        <v>9</v>
      </c>
      <c r="E13" s="34" t="s">
        <v>740</v>
      </c>
    </row>
    <row r="14" customFormat="false" ht="22.35" hidden="false" customHeight="false" outlineLevel="0" collapsed="false">
      <c r="A14" s="6" t="s">
        <v>741</v>
      </c>
      <c r="B14" s="96" t="n">
        <f aca="false">'Gross Margin Build'!G30</f>
        <v>20</v>
      </c>
      <c r="C14" s="96" t="n">
        <f aca="false">'Gross Margin Build'!G31</f>
        <v>15</v>
      </c>
      <c r="D14" s="96" t="n">
        <f aca="false">'Gross Margin Build'!G32</f>
        <v>13</v>
      </c>
      <c r="E14" s="34" t="s">
        <v>742</v>
      </c>
    </row>
    <row r="15" customFormat="false" ht="22.35" hidden="false" customHeight="false" outlineLevel="0" collapsed="false">
      <c r="A15" s="6" t="s">
        <v>743</v>
      </c>
      <c r="B15" s="96" t="n">
        <f aca="false">'Gross Margin Build'!G35</f>
        <v>-4</v>
      </c>
      <c r="C15" s="96" t="n">
        <f aca="false">'Gross Margin Build'!G36</f>
        <v>-8</v>
      </c>
      <c r="D15" s="96" t="n">
        <f aca="false">'Gross Margin Build'!G37</f>
        <v>-8</v>
      </c>
      <c r="E15" s="34" t="s">
        <v>744</v>
      </c>
    </row>
    <row r="16" customFormat="false" ht="22.35" hidden="false" customHeight="false" outlineLevel="0" collapsed="false">
      <c r="A16" s="6" t="s">
        <v>745</v>
      </c>
      <c r="B16" s="25" t="n">
        <f aca="false">'SG&amp;A Build'!G26</f>
        <v>0.025</v>
      </c>
      <c r="C16" s="25" t="n">
        <f aca="false">'SG&amp;A Build'!G27</f>
        <v>0.03</v>
      </c>
      <c r="D16" s="25" t="n">
        <f aca="false">'SG&amp;A Build'!G28</f>
        <v>0.031</v>
      </c>
      <c r="E16" s="34" t="s">
        <v>746</v>
      </c>
    </row>
    <row r="17" customFormat="false" ht="22.35" hidden="false" customHeight="false" outlineLevel="0" collapsed="false">
      <c r="A17" s="6" t="s">
        <v>747</v>
      </c>
      <c r="B17" s="25" t="n">
        <f aca="false">'SG&amp;A Build'!G30</f>
        <v>-0.008</v>
      </c>
      <c r="C17" s="25" t="n">
        <f aca="false">'SG&amp;A Build'!G31</f>
        <v>-0.005</v>
      </c>
      <c r="D17" s="25" t="n">
        <f aca="false">'SG&amp;A Build'!G32</f>
        <v>-0.0035</v>
      </c>
      <c r="E17" s="34" t="s">
        <v>748</v>
      </c>
    </row>
    <row r="18" customFormat="false" ht="22.35" hidden="false" customHeight="false" outlineLevel="0" collapsed="false">
      <c r="A18" s="6" t="s">
        <v>749</v>
      </c>
      <c r="B18" s="97" t="n">
        <f aca="false">'Working Capital Schedule'!G14</f>
        <v>58.5</v>
      </c>
      <c r="C18" s="97" t="n">
        <f aca="false">'Working Capital Schedule'!G15</f>
        <v>59</v>
      </c>
      <c r="D18" s="97" t="n">
        <f aca="false">'Working Capital Schedule'!G16</f>
        <v>59.2</v>
      </c>
      <c r="E18" s="34" t="s">
        <v>750</v>
      </c>
    </row>
    <row r="19" customFormat="false" ht="22.35" hidden="false" customHeight="false" outlineLevel="0" collapsed="false">
      <c r="A19" s="6" t="s">
        <v>751</v>
      </c>
      <c r="B19" s="97" t="n">
        <f aca="false">'Working Capital Schedule'!G24</f>
        <v>62</v>
      </c>
      <c r="C19" s="97" t="n">
        <f aca="false">'Working Capital Schedule'!G25</f>
        <v>61</v>
      </c>
      <c r="D19" s="97" t="n">
        <f aca="false">'Working Capital Schedule'!G26</f>
        <v>60.8</v>
      </c>
      <c r="E19" s="34" t="s">
        <v>752</v>
      </c>
    </row>
    <row r="20" customFormat="false" ht="22.35" hidden="false" customHeight="false" outlineLevel="0" collapsed="false">
      <c r="A20" s="6" t="s">
        <v>753</v>
      </c>
      <c r="B20" s="25" t="n">
        <f aca="false">'Capital Allocation'!G28</f>
        <v>0.9</v>
      </c>
      <c r="C20" s="25" t="n">
        <f aca="false">'Capital Allocation'!G29</f>
        <v>0.65</v>
      </c>
      <c r="D20" s="25" t="n">
        <f aca="false">'Capital Allocation'!G30</f>
        <v>0.2</v>
      </c>
      <c r="E20" s="34" t="s">
        <v>754</v>
      </c>
    </row>
    <row r="22" customFormat="false" ht="15.75" hidden="false" customHeight="true" outlineLevel="0" collapsed="false">
      <c r="A22" s="5" t="s">
        <v>755</v>
      </c>
      <c r="B22" s="5"/>
      <c r="C22" s="5"/>
      <c r="D22" s="5"/>
      <c r="E22" s="5"/>
    </row>
    <row r="23" customFormat="false" ht="15" hidden="false" customHeight="false" outlineLevel="0" collapsed="false">
      <c r="A23" s="31" t="s">
        <v>76</v>
      </c>
      <c r="B23" s="31" t="s">
        <v>95</v>
      </c>
      <c r="C23" s="31" t="s">
        <v>96</v>
      </c>
      <c r="D23" s="31" t="s">
        <v>97</v>
      </c>
    </row>
    <row r="24" customFormat="false" ht="15" hidden="false" customHeight="false" outlineLevel="0" collapsed="false">
      <c r="A24" s="6" t="s">
        <v>79</v>
      </c>
      <c r="B24" s="46" t="n">
        <v>111941.3</v>
      </c>
      <c r="C24" s="46" t="n">
        <v>110011</v>
      </c>
      <c r="D24" s="46" t="n">
        <v>108403.2</v>
      </c>
    </row>
    <row r="25" customFormat="false" ht="15" hidden="false" customHeight="false" outlineLevel="0" collapsed="false">
      <c r="A25" s="6" t="s">
        <v>98</v>
      </c>
      <c r="B25" s="46" t="n">
        <v>142609</v>
      </c>
      <c r="C25" s="46" t="n">
        <v>129787.9</v>
      </c>
      <c r="D25" s="46" t="n">
        <v>123282.4</v>
      </c>
    </row>
    <row r="26" customFormat="false" ht="15" hidden="false" customHeight="false" outlineLevel="0" collapsed="false">
      <c r="A26" s="6" t="s">
        <v>80</v>
      </c>
      <c r="B26" s="12" t="n">
        <v>0.0587</v>
      </c>
      <c r="C26" s="12" t="n">
        <v>0.0538</v>
      </c>
      <c r="D26" s="12" t="n">
        <v>0.051</v>
      </c>
    </row>
    <row r="27" customFormat="false" ht="15" hidden="false" customHeight="false" outlineLevel="0" collapsed="false">
      <c r="A27" s="6" t="s">
        <v>102</v>
      </c>
      <c r="B27" s="12" t="n">
        <v>0.0661</v>
      </c>
      <c r="C27" s="12" t="n">
        <v>0.0434</v>
      </c>
      <c r="D27" s="12" t="n">
        <v>0.0384</v>
      </c>
    </row>
    <row r="28" customFormat="false" ht="15" hidden="false" customHeight="false" outlineLevel="0" collapsed="false">
      <c r="A28" s="6" t="s">
        <v>756</v>
      </c>
      <c r="B28" s="46" t="n">
        <v>9426.7</v>
      </c>
      <c r="C28" s="46" t="n">
        <v>5628.8</v>
      </c>
      <c r="D28" s="46" t="n">
        <v>4732.8</v>
      </c>
    </row>
    <row r="29" customFormat="false" ht="15" hidden="false" customHeight="false" outlineLevel="0" collapsed="false">
      <c r="A29" s="6" t="s">
        <v>757</v>
      </c>
      <c r="B29" s="46" t="n">
        <v>6973.1</v>
      </c>
      <c r="C29" s="46" t="n">
        <v>4029.8</v>
      </c>
      <c r="D29" s="46" t="n">
        <v>3335.4</v>
      </c>
    </row>
    <row r="30" customFormat="false" ht="15" hidden="false" customHeight="false" outlineLevel="0" collapsed="false">
      <c r="A30" s="6" t="s">
        <v>106</v>
      </c>
      <c r="B30" s="11" t="n">
        <v>20.43</v>
      </c>
      <c r="C30" s="11" t="n">
        <v>9.42</v>
      </c>
      <c r="D30" s="11" t="n">
        <v>7.36</v>
      </c>
    </row>
    <row r="31" customFormat="false" ht="15" hidden="false" customHeight="false" outlineLevel="0" collapsed="false">
      <c r="A31" s="6" t="s">
        <v>758</v>
      </c>
      <c r="B31" s="46" t="n">
        <v>41719.9</v>
      </c>
      <c r="C31" s="46" t="n">
        <v>26504.1</v>
      </c>
      <c r="D31" s="46" t="n">
        <v>22740.9</v>
      </c>
    </row>
    <row r="32" customFormat="false" ht="15" hidden="false" customHeight="false" outlineLevel="0" collapsed="false">
      <c r="A32" s="6" t="s">
        <v>759</v>
      </c>
      <c r="B32" s="46" t="n">
        <v>8190.7</v>
      </c>
      <c r="C32" s="46" t="n">
        <v>7067.6</v>
      </c>
      <c r="D32" s="46" t="n">
        <v>6367.4</v>
      </c>
    </row>
    <row r="33" customFormat="false" ht="15" hidden="false" customHeight="false" outlineLevel="0" collapsed="false">
      <c r="A33" s="6" t="s">
        <v>760</v>
      </c>
      <c r="B33" s="98" t="n">
        <v>0.0743</v>
      </c>
      <c r="C33" s="98" t="n">
        <v>0.0743</v>
      </c>
      <c r="D33" s="98" t="n">
        <v>0.0743</v>
      </c>
    </row>
    <row r="34" customFormat="false" ht="15" hidden="false" customHeight="false" outlineLevel="0" collapsed="false">
      <c r="A34" s="6" t="s">
        <v>761</v>
      </c>
      <c r="B34" s="99" t="n">
        <v>231.41</v>
      </c>
      <c r="C34" s="99" t="n">
        <v>124.46</v>
      </c>
      <c r="D34" s="99" t="n">
        <v>102.17</v>
      </c>
    </row>
    <row r="35" customFormat="false" ht="15" hidden="false" customHeight="false" outlineLevel="0" collapsed="false">
      <c r="A35" s="6" t="s">
        <v>762</v>
      </c>
      <c r="B35" s="99" t="n">
        <v>211.64</v>
      </c>
      <c r="C35" s="99" t="n">
        <v>140.95</v>
      </c>
      <c r="D35" s="99" t="n">
        <v>122.54</v>
      </c>
    </row>
    <row r="36" customFormat="false" ht="15" hidden="false" customHeight="false" outlineLevel="0" collapsed="false">
      <c r="A36" s="37" t="s">
        <v>763</v>
      </c>
      <c r="B36" s="100" t="n">
        <v>221.52</v>
      </c>
      <c r="C36" s="100" t="n">
        <v>132.7</v>
      </c>
      <c r="D36" s="100" t="n">
        <v>112.36</v>
      </c>
    </row>
    <row r="37" customFormat="false" ht="15" hidden="false" customHeight="false" outlineLevel="0" collapsed="false">
      <c r="A37" s="38" t="s">
        <v>764</v>
      </c>
      <c r="B37" s="38" t="s">
        <v>765</v>
      </c>
      <c r="C37" s="38" t="s">
        <v>765</v>
      </c>
      <c r="D37" s="38" t="s">
        <v>765</v>
      </c>
    </row>
    <row r="38" customFormat="false" ht="15" hidden="false" customHeight="false" outlineLevel="0" collapsed="false">
      <c r="A38" s="16" t="s">
        <v>766</v>
      </c>
      <c r="B38" s="16"/>
      <c r="C38" s="16"/>
      <c r="D38" s="16"/>
      <c r="E38" s="16"/>
    </row>
    <row r="39" customFormat="false" ht="15" hidden="false" customHeight="false" outlineLevel="0" collapsed="false">
      <c r="A39" s="45" t="s">
        <v>767</v>
      </c>
      <c r="B39" s="45"/>
      <c r="C39" s="45"/>
      <c r="D39" s="45"/>
      <c r="E39" s="45"/>
    </row>
    <row r="41" customFormat="false" ht="15" hidden="false" customHeight="false" outlineLevel="0" collapsed="false">
      <c r="A41" s="16" t="s">
        <v>768</v>
      </c>
      <c r="B41" s="16"/>
      <c r="C41" s="16"/>
      <c r="D41" s="16"/>
      <c r="E41" s="16"/>
    </row>
  </sheetData>
  <mergeCells count="7">
    <mergeCell ref="A1:E1"/>
    <mergeCell ref="A2:E2"/>
    <mergeCell ref="A5:E5"/>
    <mergeCell ref="A6:E6"/>
    <mergeCell ref="A38:E38"/>
    <mergeCell ref="A39:E39"/>
    <mergeCell ref="A41:E41"/>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0"/>
    <col collapsed="false" customWidth="true" hidden="false" outlineLevel="0" max="3" min="3" style="0" width="12"/>
    <col collapsed="false" customWidth="true" hidden="false" outlineLevel="0" max="4" min="4" style="0" width="13"/>
    <col collapsed="false" customWidth="true" hidden="false" outlineLevel="0" max="5" min="5" style="0" width="12"/>
    <col collapsed="false" customWidth="true" hidden="false" outlineLevel="0" max="6" min="6" style="0" width="11"/>
    <col collapsed="false" customWidth="true" hidden="false" outlineLevel="0" max="8" min="7" style="0" width="13"/>
    <col collapsed="false" customWidth="true" hidden="false" outlineLevel="0" max="9" min="9" style="0" width="12"/>
    <col collapsed="false" customWidth="true" hidden="false" outlineLevel="0" max="10" min="10" style="0" width="10"/>
    <col collapsed="false" customWidth="true" hidden="false" outlineLevel="0" max="11" min="11" style="0" width="11"/>
    <col collapsed="false" customWidth="true" hidden="false" outlineLevel="0" max="13" min="12" style="0" width="9"/>
    <col collapsed="false" customWidth="true" hidden="false" outlineLevel="0" max="14" min="14" style="0" width="13"/>
  </cols>
  <sheetData>
    <row r="1" customFormat="false" ht="21.75" hidden="false" customHeight="true" outlineLevel="0" collapsed="false">
      <c r="A1" s="19" t="s">
        <v>769</v>
      </c>
      <c r="B1" s="19"/>
      <c r="C1" s="19"/>
      <c r="D1" s="19"/>
      <c r="E1" s="19"/>
      <c r="F1" s="19"/>
      <c r="G1" s="19"/>
      <c r="H1" s="19"/>
      <c r="I1" s="19"/>
      <c r="J1" s="19"/>
      <c r="K1" s="19"/>
      <c r="L1" s="19"/>
      <c r="M1" s="19"/>
      <c r="N1" s="19"/>
    </row>
    <row r="2" customFormat="false" ht="15.75" hidden="false" customHeight="true" outlineLevel="0" collapsed="false">
      <c r="A2" s="20" t="s">
        <v>770</v>
      </c>
      <c r="B2" s="20"/>
      <c r="C2" s="20"/>
      <c r="D2" s="20"/>
      <c r="E2" s="20"/>
      <c r="F2" s="20"/>
      <c r="G2" s="20"/>
      <c r="H2" s="20"/>
      <c r="I2" s="20"/>
      <c r="J2" s="20"/>
      <c r="K2" s="20"/>
      <c r="L2" s="20"/>
      <c r="M2" s="20"/>
      <c r="N2" s="20"/>
    </row>
    <row r="4" customFormat="false" ht="26.85" hidden="false" customHeight="false" outlineLevel="0" collapsed="false">
      <c r="A4" s="31" t="s">
        <v>771</v>
      </c>
      <c r="B4" s="31" t="s">
        <v>772</v>
      </c>
      <c r="C4" s="31" t="s">
        <v>773</v>
      </c>
      <c r="D4" s="31" t="s">
        <v>774</v>
      </c>
      <c r="E4" s="31" t="s">
        <v>775</v>
      </c>
      <c r="F4" s="31" t="s">
        <v>776</v>
      </c>
      <c r="G4" s="31" t="s">
        <v>777</v>
      </c>
      <c r="H4" s="31" t="s">
        <v>778</v>
      </c>
      <c r="I4" s="31" t="s">
        <v>779</v>
      </c>
      <c r="J4" s="31" t="s">
        <v>780</v>
      </c>
      <c r="K4" s="31" t="s">
        <v>781</v>
      </c>
      <c r="L4" s="31" t="s">
        <v>782</v>
      </c>
      <c r="M4" s="31" t="s">
        <v>783</v>
      </c>
      <c r="N4" s="31" t="s">
        <v>784</v>
      </c>
    </row>
    <row r="5" customFormat="false" ht="15" hidden="false" customHeight="false" outlineLevel="0" collapsed="false">
      <c r="A5" s="6" t="s">
        <v>785</v>
      </c>
      <c r="B5" s="11" t="n">
        <v>159</v>
      </c>
      <c r="C5" s="90" t="n">
        <v>456.6</v>
      </c>
      <c r="D5" s="71" t="n">
        <f aca="false">B5*C5</f>
        <v>72599.4</v>
      </c>
      <c r="E5" s="46" t="n">
        <v>18173</v>
      </c>
      <c r="F5" s="46" t="n">
        <v>5411</v>
      </c>
      <c r="G5" s="67" t="n">
        <f aca="false">D5+E5-F5</f>
        <v>85361.4</v>
      </c>
      <c r="H5" s="46" t="n">
        <v>107716</v>
      </c>
      <c r="I5" s="46" t="n">
        <v>9245</v>
      </c>
      <c r="J5" s="101" t="n">
        <f aca="false">G5/I5</f>
        <v>9.23325040562466</v>
      </c>
      <c r="K5" s="46" t="n">
        <v>4392</v>
      </c>
      <c r="L5" s="92" t="n">
        <f aca="false">K5/C5</f>
        <v>9.61892247043364</v>
      </c>
      <c r="M5" s="101" t="n">
        <f aca="false">B5/L5</f>
        <v>16.5299180327869</v>
      </c>
      <c r="N5" s="38" t="s">
        <v>786</v>
      </c>
    </row>
    <row r="6" customFormat="false" ht="15" hidden="false" customHeight="false" outlineLevel="0" collapsed="false">
      <c r="A6" s="6" t="s">
        <v>787</v>
      </c>
      <c r="B6" s="11" t="n">
        <v>150.85</v>
      </c>
      <c r="C6" s="90" t="n">
        <v>1100</v>
      </c>
      <c r="D6" s="71" t="n">
        <f aca="false">B6*C6</f>
        <v>165935</v>
      </c>
      <c r="E6" s="46" t="n">
        <v>14180</v>
      </c>
      <c r="F6" s="46" t="n">
        <v>5580</v>
      </c>
      <c r="G6" s="67" t="n">
        <f aca="false">D6+E6-F6</f>
        <v>174535</v>
      </c>
      <c r="H6" s="46" t="n">
        <v>61580</v>
      </c>
      <c r="I6" s="46" t="n">
        <v>8840</v>
      </c>
      <c r="J6" s="101" t="n">
        <f aca="false">G6/I6</f>
        <v>19.743778280543</v>
      </c>
      <c r="K6" s="46" t="n">
        <v>5790</v>
      </c>
      <c r="L6" s="92" t="n">
        <f aca="false">K6/C6</f>
        <v>5.26363636363636</v>
      </c>
      <c r="M6" s="101" t="n">
        <f aca="false">B6/L6</f>
        <v>28.6588946459413</v>
      </c>
      <c r="N6" s="38" t="s">
        <v>788</v>
      </c>
    </row>
    <row r="7" customFormat="false" ht="15" hidden="false" customHeight="false" outlineLevel="0" collapsed="false">
      <c r="A7" s="6" t="s">
        <v>789</v>
      </c>
      <c r="B7" s="11" t="n">
        <v>19.28</v>
      </c>
      <c r="C7" s="90" t="n">
        <v>113.4</v>
      </c>
      <c r="D7" s="71" t="n">
        <f aca="false">B7*C7</f>
        <v>2186.352</v>
      </c>
      <c r="E7" s="46" t="n">
        <v>6533</v>
      </c>
      <c r="F7" s="46" t="n">
        <v>429</v>
      </c>
      <c r="G7" s="67" t="n">
        <f aca="false">D7+E7-F7</f>
        <v>8290.352</v>
      </c>
      <c r="H7" s="46" t="n">
        <v>15460</v>
      </c>
      <c r="I7" s="46" t="n">
        <v>1200</v>
      </c>
      <c r="J7" s="101" t="n">
        <f aca="false">G7/I7</f>
        <v>6.90862666666667</v>
      </c>
      <c r="K7" s="46" t="n">
        <v>273</v>
      </c>
      <c r="L7" s="92" t="n">
        <f aca="false">K7/C7</f>
        <v>2.40740740740741</v>
      </c>
      <c r="M7" s="101" t="n">
        <f aca="false">B7/L7</f>
        <v>8.00861538461539</v>
      </c>
      <c r="N7" s="38" t="s">
        <v>790</v>
      </c>
    </row>
    <row r="8" customFormat="false" ht="15" hidden="false" customHeight="false" outlineLevel="0" collapsed="false">
      <c r="A8" s="6" t="s">
        <v>791</v>
      </c>
      <c r="B8" s="11" t="n">
        <v>235.28</v>
      </c>
      <c r="C8" s="90" t="n">
        <v>320.78</v>
      </c>
      <c r="D8" s="71" t="n">
        <f aca="false">B8*C8</f>
        <v>75473.1184</v>
      </c>
      <c r="E8" s="46" t="n">
        <v>4723</v>
      </c>
      <c r="F8" s="46" t="n">
        <v>4131</v>
      </c>
      <c r="G8" s="67" t="n">
        <f aca="false">D8+E8-F8</f>
        <v>76065.1184</v>
      </c>
      <c r="H8" s="46" t="n">
        <v>23780</v>
      </c>
      <c r="I8" s="46" t="n">
        <v>3430</v>
      </c>
      <c r="J8" s="101" t="n">
        <f aca="false">G8/I8</f>
        <v>22.1764193586006</v>
      </c>
      <c r="K8" s="46" t="n">
        <v>2320</v>
      </c>
      <c r="L8" s="92" t="n">
        <f aca="false">K8/C8</f>
        <v>7.23237109545483</v>
      </c>
      <c r="M8" s="101" t="n">
        <f aca="false">B8/L8</f>
        <v>32.5315165517241</v>
      </c>
      <c r="N8" s="38" t="s">
        <v>788</v>
      </c>
    </row>
    <row r="9" customFormat="false" ht="15" hidden="false" customHeight="false" outlineLevel="0" collapsed="false">
      <c r="A9" s="6" t="s">
        <v>792</v>
      </c>
      <c r="B9" s="11" t="n">
        <v>114.33</v>
      </c>
      <c r="C9" s="90" t="n">
        <v>7960</v>
      </c>
      <c r="D9" s="71" t="n">
        <f aca="false">B9*C9</f>
        <v>910066.8</v>
      </c>
      <c r="E9" s="46" t="n">
        <v>75545</v>
      </c>
      <c r="F9" s="46" t="n">
        <v>10729</v>
      </c>
      <c r="G9" s="67" t="n">
        <f aca="false">D9+E9-F9</f>
        <v>974882.8</v>
      </c>
      <c r="H9" s="46" t="n">
        <v>725310</v>
      </c>
      <c r="I9" s="46" t="n">
        <v>44840</v>
      </c>
      <c r="J9" s="101" t="n">
        <f aca="false">G9/I9</f>
        <v>21.74136485281</v>
      </c>
      <c r="K9" s="46" t="n">
        <v>22740</v>
      </c>
      <c r="L9" s="92" t="n">
        <f aca="false">K9/C9</f>
        <v>2.85678391959799</v>
      </c>
      <c r="M9" s="101" t="n">
        <f aca="false">B9/L9</f>
        <v>40.0205277044855</v>
      </c>
      <c r="N9" s="38" t="s">
        <v>793</v>
      </c>
    </row>
    <row r="10" customFormat="false" ht="15" hidden="false" customHeight="false" outlineLevel="0" collapsed="false">
      <c r="A10" s="6" t="s">
        <v>794</v>
      </c>
      <c r="B10" s="11" t="n">
        <v>953.5</v>
      </c>
      <c r="C10" s="90" t="n">
        <v>443.48</v>
      </c>
      <c r="D10" s="71" t="n">
        <f aca="false">B10*C10</f>
        <v>422858.18</v>
      </c>
      <c r="E10" s="46" t="n">
        <v>8232</v>
      </c>
      <c r="F10" s="46" t="n">
        <v>19996</v>
      </c>
      <c r="G10" s="67" t="n">
        <f aca="false">D10+E10-F10</f>
        <v>411094.18</v>
      </c>
      <c r="H10" s="46" t="n">
        <v>293590</v>
      </c>
      <c r="I10" s="46" t="n">
        <v>13790</v>
      </c>
      <c r="J10" s="101" t="n">
        <f aca="false">G10/I10</f>
        <v>29.8110355329949</v>
      </c>
      <c r="K10" s="46" t="n">
        <v>8840</v>
      </c>
      <c r="L10" s="92" t="n">
        <f aca="false">K10/C10</f>
        <v>19.9332551637052</v>
      </c>
      <c r="M10" s="101" t="n">
        <f aca="false">B10/L10</f>
        <v>47.8346357466063</v>
      </c>
      <c r="N10" s="38" t="s">
        <v>795</v>
      </c>
    </row>
    <row r="11" customFormat="false" ht="15" hidden="false" customHeight="false" outlineLevel="0" collapsed="false">
      <c r="A11" s="6" t="s">
        <v>796</v>
      </c>
      <c r="B11" s="11" t="n">
        <v>120.08</v>
      </c>
      <c r="C11" s="90" t="n">
        <v>220.59</v>
      </c>
      <c r="D11" s="71" t="n">
        <f aca="false">B11*C11</f>
        <v>26488.4472</v>
      </c>
      <c r="E11" s="46" t="n">
        <v>15798</v>
      </c>
      <c r="F11" s="46" t="n">
        <v>1353</v>
      </c>
      <c r="G11" s="67" t="n">
        <f aca="false">D11+E11-F11</f>
        <v>40933.4472</v>
      </c>
      <c r="H11" s="46" t="n">
        <v>43080</v>
      </c>
      <c r="I11" s="46" t="n">
        <v>3390</v>
      </c>
      <c r="J11" s="101" t="n">
        <f aca="false">G11/I11</f>
        <v>12.0747631858407</v>
      </c>
      <c r="K11" s="46" t="n">
        <v>1560</v>
      </c>
      <c r="L11" s="92" t="n">
        <f aca="false">K11/C11</f>
        <v>7.07194342445261</v>
      </c>
      <c r="M11" s="101" t="n">
        <f aca="false">B11/L11</f>
        <v>16.9797738461538</v>
      </c>
      <c r="N11" s="38" t="s">
        <v>797</v>
      </c>
    </row>
    <row r="12" customFormat="false" ht="15" hidden="false" customHeight="false" outlineLevel="0" collapsed="false">
      <c r="A12" s="6" t="s">
        <v>798</v>
      </c>
      <c r="B12" s="11" t="n">
        <v>94.43</v>
      </c>
      <c r="C12" s="90" t="n">
        <v>127.69</v>
      </c>
      <c r="D12" s="71" t="n">
        <f aca="false">B12*C12</f>
        <v>12057.7667</v>
      </c>
      <c r="E12" s="46" t="n">
        <v>2861</v>
      </c>
      <c r="F12" s="46" t="n">
        <v>28</v>
      </c>
      <c r="G12" s="67" t="n">
        <f aca="false">D12+E12-F12</f>
        <v>14890.7667</v>
      </c>
      <c r="H12" s="46" t="n">
        <v>14890</v>
      </c>
      <c r="I12" s="46" t="n">
        <v>21970</v>
      </c>
      <c r="J12" s="101" t="n">
        <f aca="false">G12/I12</f>
        <v>0.677777273554848</v>
      </c>
      <c r="K12" s="46" t="n">
        <v>571</v>
      </c>
      <c r="L12" s="92" t="n">
        <f aca="false">K12/C12</f>
        <v>4.47176756206437</v>
      </c>
      <c r="M12" s="101" t="n">
        <f aca="false">B12/L12</f>
        <v>21.1169294220666</v>
      </c>
      <c r="N12" s="38" t="s">
        <v>799</v>
      </c>
    </row>
    <row r="13" customFormat="false" ht="15" hidden="false" customHeight="false" outlineLevel="0" collapsed="false">
      <c r="A13" s="16" t="s">
        <v>800</v>
      </c>
      <c r="B13" s="16"/>
      <c r="C13" s="16"/>
      <c r="D13" s="16"/>
      <c r="E13" s="16"/>
      <c r="F13" s="16"/>
      <c r="G13" s="16"/>
      <c r="H13" s="16"/>
      <c r="I13" s="16"/>
      <c r="J13" s="16"/>
      <c r="K13" s="16"/>
      <c r="L13" s="16"/>
      <c r="M13" s="16"/>
    </row>
    <row r="14" customFormat="false" ht="15" hidden="false" customHeight="false" outlineLevel="0" collapsed="false">
      <c r="A14" s="45" t="s">
        <v>801</v>
      </c>
      <c r="B14" s="45"/>
      <c r="C14" s="45"/>
      <c r="D14" s="45"/>
      <c r="E14" s="45"/>
      <c r="F14" s="45"/>
      <c r="G14" s="45"/>
      <c r="H14" s="45"/>
      <c r="I14" s="45"/>
      <c r="J14" s="45"/>
      <c r="K14" s="45"/>
      <c r="L14" s="45"/>
      <c r="M14" s="45"/>
    </row>
    <row r="15" customFormat="false" ht="15" hidden="false" customHeight="false" outlineLevel="0" collapsed="false">
      <c r="A15" s="45" t="s">
        <v>802</v>
      </c>
      <c r="B15" s="45"/>
      <c r="C15" s="45"/>
      <c r="D15" s="45"/>
      <c r="E15" s="45"/>
      <c r="F15" s="45"/>
      <c r="G15" s="45"/>
      <c r="H15" s="45"/>
      <c r="I15" s="45"/>
      <c r="J15" s="45"/>
      <c r="K15" s="45"/>
      <c r="L15" s="45"/>
      <c r="M15" s="45"/>
    </row>
    <row r="17" customFormat="false" ht="15.75" hidden="false" customHeight="true" outlineLevel="0" collapsed="false">
      <c r="A17" s="5" t="s">
        <v>803</v>
      </c>
      <c r="B17" s="5"/>
      <c r="C17" s="5"/>
      <c r="D17" s="5"/>
      <c r="E17" s="5"/>
      <c r="F17" s="5"/>
      <c r="G17" s="5"/>
      <c r="H17" s="5"/>
      <c r="I17" s="5"/>
      <c r="J17" s="5"/>
      <c r="K17" s="5"/>
      <c r="L17" s="5"/>
      <c r="M17" s="5"/>
      <c r="N17" s="5"/>
    </row>
    <row r="18" customFormat="false" ht="15" hidden="false" customHeight="false" outlineLevel="0" collapsed="false">
      <c r="A18" s="16" t="s">
        <v>804</v>
      </c>
      <c r="B18" s="16"/>
      <c r="C18" s="16"/>
      <c r="D18" s="16"/>
      <c r="E18" s="16"/>
      <c r="F18" s="16"/>
      <c r="G18" s="16"/>
      <c r="H18" s="16"/>
      <c r="I18" s="16"/>
      <c r="J18" s="16"/>
      <c r="K18" s="16"/>
      <c r="L18" s="16"/>
      <c r="M18" s="16"/>
      <c r="N18" s="16"/>
    </row>
    <row r="19" customFormat="false" ht="15" hidden="false" customHeight="false" outlineLevel="0" collapsed="false">
      <c r="A19" s="37" t="s">
        <v>805</v>
      </c>
      <c r="B19" s="22" t="s">
        <v>780</v>
      </c>
      <c r="C19" s="22" t="s">
        <v>783</v>
      </c>
    </row>
    <row r="20" customFormat="false" ht="15" hidden="false" customHeight="false" outlineLevel="0" collapsed="false">
      <c r="A20" s="38" t="s">
        <v>806</v>
      </c>
      <c r="B20" s="102" t="n">
        <f aca="false">MIN(J6:J8)</f>
        <v>6.90862666666667</v>
      </c>
      <c r="C20" s="102" t="n">
        <f aca="false">MIN(M6:M8)</f>
        <v>8.00861538461539</v>
      </c>
    </row>
    <row r="21" customFormat="false" ht="15" hidden="false" customHeight="false" outlineLevel="0" collapsed="false">
      <c r="A21" s="38" t="s">
        <v>807</v>
      </c>
      <c r="B21" s="102" t="n">
        <f aca="false">QUARTILE(J6:J8,1)</f>
        <v>13.3262024736048</v>
      </c>
      <c r="C21" s="102" t="n">
        <f aca="false">QUARTILE(M6:M8,1)</f>
        <v>18.3337550152783</v>
      </c>
    </row>
    <row r="22" customFormat="false" ht="15" hidden="false" customHeight="false" outlineLevel="0" collapsed="false">
      <c r="A22" s="38" t="s">
        <v>808</v>
      </c>
      <c r="B22" s="102" t="n">
        <f aca="false">MEDIAN(J6:J8)</f>
        <v>19.743778280543</v>
      </c>
      <c r="C22" s="102" t="n">
        <f aca="false">MEDIAN(M6:M8)</f>
        <v>28.6588946459413</v>
      </c>
    </row>
    <row r="23" customFormat="false" ht="15" hidden="false" customHeight="false" outlineLevel="0" collapsed="false">
      <c r="A23" s="38" t="s">
        <v>809</v>
      </c>
      <c r="B23" s="102" t="n">
        <f aca="false">QUARTILE(J6:J8,3)</f>
        <v>20.9600988195718</v>
      </c>
      <c r="C23" s="102" t="n">
        <f aca="false">QUARTILE(M6:M8,3)</f>
        <v>30.5952055988327</v>
      </c>
    </row>
    <row r="24" customFormat="false" ht="15" hidden="false" customHeight="false" outlineLevel="0" collapsed="false">
      <c r="A24" s="38" t="s">
        <v>810</v>
      </c>
      <c r="B24" s="102" t="n">
        <f aca="false">MAX(J6:J8)</f>
        <v>22.1764193586006</v>
      </c>
      <c r="C24" s="102" t="n">
        <f aca="false">MAX(M6:M8)</f>
        <v>32.5315165517241</v>
      </c>
    </row>
    <row r="26" customFormat="false" ht="15.75" hidden="false" customHeight="true" outlineLevel="0" collapsed="false">
      <c r="A26" s="5" t="s">
        <v>811</v>
      </c>
      <c r="B26" s="5"/>
      <c r="C26" s="5"/>
      <c r="D26" s="5"/>
      <c r="E26" s="5"/>
      <c r="F26" s="5"/>
      <c r="G26" s="5"/>
      <c r="H26" s="5"/>
      <c r="I26" s="5"/>
      <c r="J26" s="5"/>
      <c r="K26" s="5"/>
      <c r="L26" s="5"/>
      <c r="M26" s="5"/>
      <c r="N26" s="5"/>
    </row>
    <row r="27" customFormat="false" ht="39.55" hidden="false" customHeight="false" outlineLevel="0" collapsed="false">
      <c r="A27" s="31" t="s">
        <v>812</v>
      </c>
      <c r="B27" s="31" t="s">
        <v>813</v>
      </c>
      <c r="C27" s="31" t="s">
        <v>814</v>
      </c>
      <c r="D27" s="31" t="s">
        <v>815</v>
      </c>
      <c r="E27" s="31" t="s">
        <v>816</v>
      </c>
      <c r="F27" s="31" t="s">
        <v>817</v>
      </c>
      <c r="G27" s="31" t="s">
        <v>818</v>
      </c>
    </row>
    <row r="28" customFormat="false" ht="15" hidden="false" customHeight="false" outlineLevel="0" collapsed="false">
      <c r="A28" s="38" t="s">
        <v>819</v>
      </c>
      <c r="B28" s="102" t="n">
        <f aca="false">B21</f>
        <v>13.3262024736048</v>
      </c>
      <c r="C28" s="67" t="n">
        <f aca="false">B28*I5</f>
        <v>123200.741868477</v>
      </c>
      <c r="D28" s="71" t="n">
        <f aca="false">E5-F5</f>
        <v>12762</v>
      </c>
      <c r="E28" s="67" t="n">
        <f aca="false">C28-D28</f>
        <v>110438.741868477</v>
      </c>
      <c r="F28" s="89" t="n">
        <f aca="false">C5</f>
        <v>456.6</v>
      </c>
      <c r="G28" s="95" t="n">
        <f aca="false">E28/F28</f>
        <v>241.871970802621</v>
      </c>
    </row>
    <row r="29" customFormat="false" ht="15" hidden="false" customHeight="false" outlineLevel="0" collapsed="false">
      <c r="A29" s="38" t="s">
        <v>820</v>
      </c>
      <c r="B29" s="102" t="n">
        <f aca="false">B22</f>
        <v>19.743778280543</v>
      </c>
      <c r="C29" s="67" t="n">
        <f aca="false">B29*I5</f>
        <v>182531.23020362</v>
      </c>
      <c r="D29" s="71" t="n">
        <f aca="false">E5-F5</f>
        <v>12762</v>
      </c>
      <c r="E29" s="67" t="n">
        <f aca="false">C29-D29</f>
        <v>169769.23020362</v>
      </c>
      <c r="F29" s="89" t="n">
        <f aca="false">C5</f>
        <v>456.6</v>
      </c>
      <c r="G29" s="95" t="n">
        <f aca="false">E29/F29</f>
        <v>371.811717484932</v>
      </c>
    </row>
    <row r="30" customFormat="false" ht="15" hidden="false" customHeight="false" outlineLevel="0" collapsed="false">
      <c r="A30" s="38" t="s">
        <v>821</v>
      </c>
      <c r="B30" s="102" t="n">
        <f aca="false">B23</f>
        <v>20.9600988195718</v>
      </c>
      <c r="C30" s="67" t="n">
        <f aca="false">B30*I5</f>
        <v>193776.113586941</v>
      </c>
      <c r="D30" s="71" t="n">
        <f aca="false">E5-F5</f>
        <v>12762</v>
      </c>
      <c r="E30" s="67" t="n">
        <f aca="false">C30-D30</f>
        <v>181014.113586941</v>
      </c>
      <c r="F30" s="89" t="n">
        <f aca="false">C5</f>
        <v>456.6</v>
      </c>
      <c r="G30" s="95" t="n">
        <f aca="false">E30/F30</f>
        <v>396.439144956069</v>
      </c>
    </row>
    <row r="31" customFormat="false" ht="15" hidden="false" customHeight="false" outlineLevel="0" collapsed="false">
      <c r="A31" s="38" t="s">
        <v>822</v>
      </c>
      <c r="B31" s="102" t="n">
        <f aca="false">C22</f>
        <v>28.6588946459413</v>
      </c>
      <c r="G31" s="95" t="n">
        <f aca="false">B31*L5</f>
        <v>275.667685687635</v>
      </c>
    </row>
    <row r="33" customFormat="false" ht="15.75" hidden="false" customHeight="true" outlineLevel="0" collapsed="false">
      <c r="A33" s="5" t="s">
        <v>823</v>
      </c>
      <c r="B33" s="5"/>
      <c r="C33" s="5"/>
      <c r="D33" s="5"/>
      <c r="E33" s="5"/>
      <c r="F33" s="5"/>
      <c r="G33" s="5"/>
      <c r="H33" s="5"/>
      <c r="I33" s="5"/>
      <c r="J33" s="5"/>
      <c r="K33" s="5"/>
      <c r="L33" s="5"/>
      <c r="M33" s="5"/>
      <c r="N33" s="5"/>
    </row>
    <row r="34" customFormat="false" ht="15" hidden="false" customHeight="false" outlineLevel="0" collapsed="false">
      <c r="A34" s="22" t="s">
        <v>771</v>
      </c>
      <c r="B34" s="22" t="s">
        <v>824</v>
      </c>
      <c r="C34" s="22" t="s">
        <v>825</v>
      </c>
      <c r="D34" s="22" t="s">
        <v>774</v>
      </c>
      <c r="E34" s="22" t="s">
        <v>826</v>
      </c>
      <c r="F34" s="22" t="s">
        <v>827</v>
      </c>
    </row>
    <row r="35" customFormat="false" ht="15" hidden="false" customHeight="false" outlineLevel="0" collapsed="false">
      <c r="A35" s="6" t="s">
        <v>787</v>
      </c>
      <c r="B35" s="103" t="n">
        <v>0.62</v>
      </c>
      <c r="C35" s="71" t="n">
        <f aca="false">E6</f>
        <v>14180</v>
      </c>
      <c r="D35" s="71" t="n">
        <f aca="false">D6</f>
        <v>165935</v>
      </c>
      <c r="E35" s="104" t="n">
        <f aca="false">C35/D35</f>
        <v>0.0854551481001597</v>
      </c>
      <c r="F35" s="57" t="n">
        <f aca="false">B35/(1+(1-Assumptions!G10)*E35)</f>
        <v>0.581489279325362</v>
      </c>
    </row>
    <row r="36" customFormat="false" ht="15" hidden="false" customHeight="false" outlineLevel="0" collapsed="false">
      <c r="A36" s="6" t="s">
        <v>789</v>
      </c>
      <c r="B36" s="103" t="n">
        <v>1.42</v>
      </c>
      <c r="C36" s="71" t="n">
        <f aca="false">E7</f>
        <v>6533</v>
      </c>
      <c r="D36" s="71" t="n">
        <f aca="false">D7</f>
        <v>2186.352</v>
      </c>
      <c r="E36" s="104" t="n">
        <f aca="false">C36/D36</f>
        <v>2.98808243137427</v>
      </c>
      <c r="F36" s="57" t="n">
        <f aca="false">B36/(1+(1-Assumptions!G10)*E36)</f>
        <v>0.428257273298979</v>
      </c>
    </row>
    <row r="37" customFormat="false" ht="15" hidden="false" customHeight="false" outlineLevel="0" collapsed="false">
      <c r="A37" s="6" t="s">
        <v>791</v>
      </c>
      <c r="B37" s="103" t="n">
        <v>0.88</v>
      </c>
      <c r="C37" s="71" t="n">
        <f aca="false">E8</f>
        <v>4723</v>
      </c>
      <c r="D37" s="71" t="n">
        <f aca="false">D8</f>
        <v>75473.1184</v>
      </c>
      <c r="E37" s="104" t="n">
        <f aca="false">C37/D37</f>
        <v>0.0625785723463627</v>
      </c>
      <c r="F37" s="57" t="n">
        <f aca="false">B37/(1+(1-Assumptions!G10)*E37)</f>
        <v>0.839295515756616</v>
      </c>
    </row>
    <row r="38" customFormat="false" ht="15" hidden="false" customHeight="false" outlineLevel="0" collapsed="false">
      <c r="A38" s="37" t="s">
        <v>828</v>
      </c>
      <c r="F38" s="105" t="n">
        <f aca="false">MEDIAN(F35:F37)</f>
        <v>0.581489279325362</v>
      </c>
    </row>
    <row r="39" customFormat="false" ht="15" hidden="false" customHeight="false" outlineLevel="0" collapsed="false">
      <c r="A39" s="16" t="s">
        <v>829</v>
      </c>
      <c r="B39" s="16"/>
      <c r="C39" s="16"/>
      <c r="D39" s="16"/>
      <c r="E39" s="16"/>
      <c r="F39" s="16"/>
      <c r="G39" s="16"/>
      <c r="H39" s="16"/>
      <c r="I39" s="16"/>
      <c r="J39" s="16"/>
      <c r="K39" s="16"/>
      <c r="L39" s="16"/>
      <c r="M39" s="16"/>
      <c r="N39" s="16"/>
    </row>
  </sheetData>
  <mergeCells count="7">
    <mergeCell ref="A1:N1"/>
    <mergeCell ref="A2:N2"/>
    <mergeCell ref="A13:M13"/>
    <mergeCell ref="A14:M14"/>
    <mergeCell ref="A15:M15"/>
    <mergeCell ref="A18:N18"/>
    <mergeCell ref="A39:N39"/>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1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2"/>
    <col collapsed="false" customWidth="true" hidden="false" outlineLevel="0" max="13" min="2" style="0" width="12"/>
  </cols>
  <sheetData>
    <row r="1" customFormat="false" ht="21.75" hidden="false" customHeight="true" outlineLevel="0" collapsed="false">
      <c r="A1" s="19" t="s">
        <v>830</v>
      </c>
      <c r="B1" s="19"/>
      <c r="C1" s="19"/>
      <c r="D1" s="19"/>
      <c r="E1" s="19"/>
      <c r="F1" s="19"/>
      <c r="G1" s="19"/>
      <c r="H1" s="19"/>
      <c r="I1" s="19"/>
      <c r="J1" s="19"/>
      <c r="K1" s="19"/>
      <c r="L1" s="19"/>
      <c r="M1" s="19"/>
    </row>
    <row r="2" customFormat="false" ht="15.75" hidden="false" customHeight="true" outlineLevel="0" collapsed="false">
      <c r="A2" s="20" t="s">
        <v>831</v>
      </c>
      <c r="B2" s="20"/>
      <c r="C2" s="20"/>
      <c r="D2" s="20"/>
      <c r="E2" s="20"/>
      <c r="F2" s="20"/>
      <c r="G2" s="20"/>
      <c r="H2" s="20"/>
      <c r="I2" s="20"/>
      <c r="J2" s="20"/>
      <c r="K2" s="20"/>
      <c r="L2" s="20"/>
      <c r="M2" s="20"/>
    </row>
    <row r="4" customFormat="false" ht="15.75" hidden="false" customHeight="true" outlineLevel="0" collapsed="false">
      <c r="A4" s="5" t="s">
        <v>832</v>
      </c>
      <c r="B4" s="5"/>
      <c r="C4" s="5"/>
      <c r="D4" s="5"/>
      <c r="E4" s="5"/>
      <c r="F4" s="5"/>
      <c r="G4" s="5"/>
      <c r="H4" s="5"/>
      <c r="I4" s="5"/>
      <c r="J4" s="5"/>
      <c r="K4" s="5"/>
      <c r="L4" s="5"/>
      <c r="M4" s="5"/>
    </row>
    <row r="5" customFormat="false" ht="15" hidden="false" customHeight="false" outlineLevel="0" collapsed="false">
      <c r="A5" s="6" t="s">
        <v>354</v>
      </c>
      <c r="B5" s="26" t="n">
        <f aca="false">Assumptions!B14</f>
        <v>0.0463</v>
      </c>
    </row>
    <row r="6" customFormat="false" ht="15" hidden="false" customHeight="false" outlineLevel="0" collapsed="false">
      <c r="A6" s="6" t="s">
        <v>833</v>
      </c>
      <c r="B6" s="25" t="n">
        <f aca="false">Assumptions!B16</f>
        <v>0.045</v>
      </c>
    </row>
    <row r="7" customFormat="false" ht="15" hidden="false" customHeight="false" outlineLevel="0" collapsed="false">
      <c r="A7" s="6" t="s">
        <v>834</v>
      </c>
      <c r="B7" s="55" t="n">
        <f aca="false">Assumptions!B24</f>
        <v>0.823715342643588</v>
      </c>
    </row>
    <row r="8" customFormat="false" ht="15" hidden="false" customHeight="false" outlineLevel="0" collapsed="false">
      <c r="A8" s="16" t="s">
        <v>835</v>
      </c>
      <c r="B8" s="16"/>
      <c r="C8" s="16"/>
      <c r="D8" s="16"/>
      <c r="E8" s="16"/>
      <c r="F8" s="16"/>
      <c r="G8" s="16"/>
      <c r="H8" s="16"/>
      <c r="I8" s="16"/>
      <c r="J8" s="16"/>
      <c r="K8" s="16"/>
      <c r="L8" s="16"/>
      <c r="M8" s="16"/>
    </row>
    <row r="9" customFormat="false" ht="15" hidden="false" customHeight="false" outlineLevel="0" collapsed="false">
      <c r="A9" s="37" t="s">
        <v>836</v>
      </c>
      <c r="B9" s="69" t="n">
        <f aca="false">B5+B7*B6</f>
        <v>0.0833671904189615</v>
      </c>
    </row>
    <row r="11" customFormat="false" ht="15" hidden="false" customHeight="false" outlineLevel="0" collapsed="false">
      <c r="A11" s="6" t="s">
        <v>837</v>
      </c>
      <c r="B11" s="26" t="n">
        <f aca="false">'Debt &amp; Interest Schedule'!G28</f>
        <v>0.040579802750382</v>
      </c>
    </row>
    <row r="12" customFormat="false" ht="15" hidden="false" customHeight="false" outlineLevel="0" collapsed="false">
      <c r="A12" s="16" t="s">
        <v>838</v>
      </c>
      <c r="B12" s="16"/>
      <c r="C12" s="16"/>
      <c r="D12" s="16"/>
      <c r="E12" s="16"/>
      <c r="F12" s="16"/>
      <c r="G12" s="16"/>
      <c r="H12" s="16"/>
      <c r="I12" s="16"/>
      <c r="J12" s="16"/>
      <c r="K12" s="16"/>
      <c r="L12" s="16"/>
      <c r="M12" s="16"/>
    </row>
    <row r="13" customFormat="false" ht="15" hidden="false" customHeight="false" outlineLevel="0" collapsed="false">
      <c r="A13" s="6" t="s">
        <v>839</v>
      </c>
      <c r="B13" s="25" t="n">
        <f aca="false">Assumptions!G10</f>
        <v>0.225</v>
      </c>
    </row>
    <row r="14" customFormat="false" ht="15" hidden="false" customHeight="false" outlineLevel="0" collapsed="false">
      <c r="A14" s="37" t="s">
        <v>840</v>
      </c>
      <c r="B14" s="69" t="n">
        <f aca="false">B11*(1-B13)</f>
        <v>0.0314493471315461</v>
      </c>
    </row>
    <row r="16" customFormat="false" ht="15" hidden="false" customHeight="false" outlineLevel="0" collapsed="false">
      <c r="A16" s="6" t="s">
        <v>841</v>
      </c>
      <c r="B16" s="24" t="n">
        <f aca="false">Assumptions!B20</f>
        <v>72600</v>
      </c>
    </row>
    <row r="17" customFormat="false" ht="15" hidden="false" customHeight="false" outlineLevel="0" collapsed="false">
      <c r="A17" s="6" t="s">
        <v>842</v>
      </c>
      <c r="B17" s="24" t="n">
        <f aca="false">Assumptions!B19</f>
        <v>15357</v>
      </c>
    </row>
    <row r="18" customFormat="false" ht="15" hidden="false" customHeight="false" outlineLevel="0" collapsed="false">
      <c r="A18" s="6" t="s">
        <v>843</v>
      </c>
      <c r="B18" s="24" t="n">
        <f aca="false">'Balance Sheet'!F8</f>
        <v>5488</v>
      </c>
    </row>
    <row r="19" customFormat="false" ht="15" hidden="false" customHeight="false" outlineLevel="0" collapsed="false">
      <c r="A19" s="6" t="s">
        <v>844</v>
      </c>
      <c r="B19" s="24" t="n">
        <f aca="false">'Balance Sheet'!F24</f>
        <v>3462</v>
      </c>
    </row>
    <row r="20" customFormat="false" ht="15" hidden="false" customHeight="false" outlineLevel="0" collapsed="false">
      <c r="A20" s="16" t="s">
        <v>845</v>
      </c>
      <c r="B20" s="16"/>
      <c r="C20" s="16"/>
      <c r="D20" s="16"/>
      <c r="E20" s="16"/>
      <c r="F20" s="16"/>
      <c r="G20" s="16"/>
      <c r="H20" s="16"/>
      <c r="I20" s="16"/>
      <c r="J20" s="16"/>
      <c r="K20" s="16"/>
      <c r="L20" s="16"/>
      <c r="M20" s="16"/>
    </row>
    <row r="21" customFormat="false" ht="15" hidden="false" customHeight="false" outlineLevel="0" collapsed="false">
      <c r="A21" s="37" t="s">
        <v>846</v>
      </c>
      <c r="B21" s="67" t="n">
        <f aca="false">B16+B17</f>
        <v>87957</v>
      </c>
    </row>
    <row r="22" customFormat="false" ht="15" hidden="false" customHeight="false" outlineLevel="0" collapsed="false">
      <c r="A22" s="6" t="s">
        <v>847</v>
      </c>
      <c r="B22" s="106" t="n">
        <f aca="false">B16/B21</f>
        <v>0.825403322077834</v>
      </c>
    </row>
    <row r="23" customFormat="false" ht="15" hidden="false" customHeight="false" outlineLevel="0" collapsed="false">
      <c r="A23" s="6" t="s">
        <v>848</v>
      </c>
      <c r="B23" s="106" t="n">
        <f aca="false">B17/B21</f>
        <v>0.174596677922167</v>
      </c>
    </row>
    <row r="25" customFormat="false" ht="15" hidden="false" customHeight="false" outlineLevel="0" collapsed="false">
      <c r="A25" s="37" t="s">
        <v>849</v>
      </c>
      <c r="B25" s="70" t="n">
        <f aca="false">B22*B9+B23*B14</f>
        <v>0.0743025074560951</v>
      </c>
    </row>
    <row r="27" customFormat="false" ht="15.75" hidden="false" customHeight="true" outlineLevel="0" collapsed="false">
      <c r="A27" s="5" t="s">
        <v>850</v>
      </c>
      <c r="B27" s="5"/>
      <c r="C27" s="5"/>
      <c r="D27" s="5"/>
      <c r="E27" s="5"/>
      <c r="F27" s="5"/>
      <c r="G27" s="5"/>
      <c r="H27" s="5"/>
      <c r="I27" s="5"/>
      <c r="J27" s="5"/>
      <c r="K27" s="5"/>
      <c r="L27" s="5"/>
      <c r="M27" s="5"/>
    </row>
    <row r="28" customFormat="false" ht="15" hidden="false" customHeight="true" outlineLevel="0" collapsed="false">
      <c r="B28" s="29" t="s">
        <v>283</v>
      </c>
      <c r="C28" s="29" t="s">
        <v>284</v>
      </c>
      <c r="D28" s="29" t="s">
        <v>285</v>
      </c>
      <c r="E28" s="29" t="s">
        <v>286</v>
      </c>
      <c r="F28" s="29" t="s">
        <v>287</v>
      </c>
      <c r="G28" s="29" t="s">
        <v>370</v>
      </c>
      <c r="H28" s="29" t="s">
        <v>371</v>
      </c>
      <c r="I28" s="29" t="s">
        <v>372</v>
      </c>
      <c r="J28" s="29" t="s">
        <v>373</v>
      </c>
      <c r="K28" s="29" t="s">
        <v>374</v>
      </c>
      <c r="L28" s="29" t="s">
        <v>375</v>
      </c>
      <c r="M28" s="29" t="s">
        <v>376</v>
      </c>
    </row>
    <row r="30" customFormat="false" ht="15" hidden="false" customHeight="false" outlineLevel="0" collapsed="false">
      <c r="A30" s="6" t="s">
        <v>851</v>
      </c>
      <c r="G30" s="24" t="n">
        <f aca="false">'Income Statement'!G13</f>
        <v>5913.46643372545</v>
      </c>
      <c r="H30" s="24" t="n">
        <f aca="false">'Income Statement'!H13</f>
        <v>6148.42032573659</v>
      </c>
      <c r="I30" s="24" t="n">
        <f aca="false">'Income Statement'!I13</f>
        <v>6160.6110585099</v>
      </c>
      <c r="J30" s="24" t="n">
        <f aca="false">'Income Statement'!J13</f>
        <v>6067.60856417102</v>
      </c>
      <c r="K30" s="24" t="n">
        <f aca="false">'Income Statement'!K13</f>
        <v>5960.46453880319</v>
      </c>
      <c r="L30" s="24" t="n">
        <f aca="false">'Income Statement'!L13</f>
        <v>5802.75070416044</v>
      </c>
      <c r="M30" s="24" t="n">
        <f aca="false">'Income Statement'!M13</f>
        <v>5628.83543906782</v>
      </c>
    </row>
    <row r="31" customFormat="false" ht="15" hidden="false" customHeight="false" outlineLevel="0" collapsed="false">
      <c r="A31" s="6" t="s">
        <v>852</v>
      </c>
      <c r="G31" s="24" t="n">
        <f aca="false">-G30*Assumptions!G10</f>
        <v>-1330.52994758823</v>
      </c>
      <c r="H31" s="24" t="n">
        <f aca="false">-H30*Assumptions!H10</f>
        <v>-1383.39457329073</v>
      </c>
      <c r="I31" s="24" t="n">
        <f aca="false">-I30*Assumptions!I10</f>
        <v>-1386.13748816473</v>
      </c>
      <c r="J31" s="24" t="n">
        <f aca="false">-J30*Assumptions!J10</f>
        <v>-1365.21192693848</v>
      </c>
      <c r="K31" s="24" t="n">
        <f aca="false">-K30*Assumptions!K10</f>
        <v>-1341.10452123072</v>
      </c>
      <c r="L31" s="24" t="n">
        <f aca="false">-L30*Assumptions!L10</f>
        <v>-1305.6189084361</v>
      </c>
      <c r="M31" s="24" t="n">
        <f aca="false">-M30*Assumptions!M10</f>
        <v>-1266.48797379026</v>
      </c>
    </row>
    <row r="32" customFormat="false" ht="15" hidden="false" customHeight="false" outlineLevel="0" collapsed="false">
      <c r="A32" s="37" t="s">
        <v>853</v>
      </c>
      <c r="G32" s="67" t="n">
        <f aca="false">G30+G31</f>
        <v>4582.93648613723</v>
      </c>
      <c r="H32" s="67" t="n">
        <f aca="false">H30+H31</f>
        <v>4765.02575244585</v>
      </c>
      <c r="I32" s="67" t="n">
        <f aca="false">I30+I31</f>
        <v>4774.47357034517</v>
      </c>
      <c r="J32" s="67" t="n">
        <f aca="false">J30+J31</f>
        <v>4702.39663723254</v>
      </c>
      <c r="K32" s="67" t="n">
        <f aca="false">K30+K31</f>
        <v>4619.36001757248</v>
      </c>
      <c r="L32" s="67" t="n">
        <f aca="false">L30+L31</f>
        <v>4497.13179572434</v>
      </c>
      <c r="M32" s="67" t="n">
        <f aca="false">M30+M31</f>
        <v>4362.34746527756</v>
      </c>
    </row>
    <row r="33" customFormat="false" ht="15" hidden="false" customHeight="false" outlineLevel="0" collapsed="false">
      <c r="A33" s="6" t="s">
        <v>854</v>
      </c>
      <c r="G33" s="24" t="n">
        <f aca="false">'PP&amp;E-Capex Schedule'!G53</f>
        <v>3408.25505660377</v>
      </c>
      <c r="H33" s="24" t="n">
        <f aca="false">'PP&amp;E-Capex Schedule'!H53</f>
        <v>3587.44543056959</v>
      </c>
      <c r="I33" s="24" t="n">
        <f aca="false">'PP&amp;E-Capex Schedule'!I53</f>
        <v>3805.17515813166</v>
      </c>
      <c r="J33" s="24" t="n">
        <f aca="false">'PP&amp;E-Capex Schedule'!J53</f>
        <v>4047.15953427741</v>
      </c>
      <c r="K33" s="24" t="n">
        <f aca="false">'PP&amp;E-Capex Schedule'!K53</f>
        <v>4311.78299970329</v>
      </c>
      <c r="L33" s="24" t="n">
        <f aca="false">'PP&amp;E-Capex Schedule'!L53</f>
        <v>4608.3842363498</v>
      </c>
      <c r="M33" s="24" t="n">
        <f aca="false">'PP&amp;E-Capex Schedule'!M53</f>
        <v>4936.40526823123</v>
      </c>
    </row>
    <row r="34" customFormat="false" ht="15" hidden="false" customHeight="false" outlineLevel="0" collapsed="false">
      <c r="A34" s="6" t="s">
        <v>855</v>
      </c>
      <c r="G34" s="24" t="n">
        <f aca="false">-'PP&amp;E-Capex Schedule'!G35</f>
        <v>-5000</v>
      </c>
      <c r="H34" s="24" t="n">
        <f aca="false">-'PP&amp;E-Capex Schedule'!H35</f>
        <v>-5120.80660487524</v>
      </c>
      <c r="I34" s="24" t="n">
        <f aca="false">-'PP&amp;E-Capex Schedule'!I35</f>
        <v>-5222.76905262143</v>
      </c>
      <c r="J34" s="24" t="n">
        <f aca="false">-'PP&amp;E-Capex Schedule'!J35</f>
        <v>-5096.6008441304</v>
      </c>
      <c r="K34" s="24" t="n">
        <f aca="false">-'PP&amp;E-Capex Schedule'!K35</f>
        <v>-5214.92343984866</v>
      </c>
      <c r="L34" s="24" t="n">
        <f aca="false">-'PP&amp;E-Capex Schedule'!L35</f>
        <v>-5332.58795321434</v>
      </c>
      <c r="M34" s="24" t="n">
        <f aca="false">-'PP&amp;E-Capex Schedule'!M35</f>
        <v>-5480.62397227038</v>
      </c>
    </row>
    <row r="35" customFormat="false" ht="15" hidden="false" customHeight="false" outlineLevel="0" collapsed="false">
      <c r="A35" s="6" t="s">
        <v>701</v>
      </c>
      <c r="G35" s="24" t="n">
        <f aca="false">'Working Capital Schedule'!G47</f>
        <v>327.529958967648</v>
      </c>
      <c r="H35" s="24" t="n">
        <f aca="false">'Working Capital Schedule'!H47</f>
        <v>519.176455193221</v>
      </c>
      <c r="I35" s="24" t="n">
        <f aca="false">'Working Capital Schedule'!I47</f>
        <v>497.91210316562</v>
      </c>
      <c r="J35" s="24" t="n">
        <f aca="false">'Working Capital Schedule'!J47</f>
        <v>152.193005543904</v>
      </c>
      <c r="K35" s="24" t="n">
        <f aca="false">'Working Capital Schedule'!K47</f>
        <v>155.814117938845</v>
      </c>
      <c r="L35" s="24" t="n">
        <f aca="false">'Working Capital Schedule'!L47</f>
        <v>152.829259289342</v>
      </c>
      <c r="M35" s="24" t="n">
        <f aca="false">'Working Capital Schedule'!M47</f>
        <v>158.684556550702</v>
      </c>
    </row>
    <row r="36" customFormat="false" ht="15" hidden="false" customHeight="false" outlineLevel="0" collapsed="false">
      <c r="A36" s="16" t="s">
        <v>856</v>
      </c>
      <c r="B36" s="16"/>
      <c r="C36" s="16"/>
      <c r="D36" s="16"/>
      <c r="E36" s="16"/>
      <c r="F36" s="16"/>
      <c r="G36" s="16"/>
      <c r="H36" s="16"/>
      <c r="I36" s="16"/>
      <c r="J36" s="16"/>
      <c r="K36" s="16"/>
      <c r="L36" s="16"/>
      <c r="M36" s="16"/>
    </row>
    <row r="37" customFormat="false" ht="15" hidden="false" customHeight="false" outlineLevel="0" collapsed="false">
      <c r="A37" s="37" t="s">
        <v>857</v>
      </c>
      <c r="G37" s="107" t="n">
        <f aca="false">G32+G33+G34+G35</f>
        <v>3318.72150170865</v>
      </c>
      <c r="H37" s="107" t="n">
        <f aca="false">H32+H33+H34+H35</f>
        <v>3750.84103333342</v>
      </c>
      <c r="I37" s="107" t="n">
        <f aca="false">I32+I33+I34+I35</f>
        <v>3854.79177902102</v>
      </c>
      <c r="J37" s="107" t="n">
        <f aca="false">J32+J33+J34+J35</f>
        <v>3805.14833292346</v>
      </c>
      <c r="K37" s="107" t="n">
        <f aca="false">K32+K33+K34+K35</f>
        <v>3872.03369536596</v>
      </c>
      <c r="L37" s="107" t="n">
        <f aca="false">L32+L33+L34+L35</f>
        <v>3925.75733814914</v>
      </c>
      <c r="M37" s="107" t="n">
        <f aca="false">M32+M33+M34+M35</f>
        <v>3976.81331778912</v>
      </c>
    </row>
    <row r="38" customFormat="false" ht="15" hidden="false" customHeight="false" outlineLevel="0" collapsed="false">
      <c r="A38" s="6" t="s">
        <v>858</v>
      </c>
      <c r="G38" s="108" t="n">
        <v>1</v>
      </c>
      <c r="H38" s="108" t="n">
        <v>2</v>
      </c>
      <c r="I38" s="108" t="n">
        <v>3</v>
      </c>
      <c r="J38" s="108" t="n">
        <v>4</v>
      </c>
      <c r="K38" s="108" t="n">
        <v>5</v>
      </c>
      <c r="L38" s="108" t="n">
        <v>6</v>
      </c>
      <c r="M38" s="108" t="n">
        <v>7</v>
      </c>
    </row>
    <row r="39" customFormat="false" ht="15" hidden="false" customHeight="false" outlineLevel="0" collapsed="false">
      <c r="A39" s="6" t="s">
        <v>859</v>
      </c>
      <c r="G39" s="109" t="n">
        <f aca="false">1/(1+$B$25)^G38</f>
        <v>0.930836513048787</v>
      </c>
      <c r="H39" s="109" t="n">
        <f aca="false">1/(1+$B$25)^H38</f>
        <v>0.866456614024825</v>
      </c>
      <c r="I39" s="109" t="n">
        <f aca="false">1/(1+$B$25)^I38</f>
        <v>0.806529453306927</v>
      </c>
      <c r="J39" s="109" t="n">
        <f aca="false">1/(1+$B$25)^J38</f>
        <v>0.750747063987364</v>
      </c>
      <c r="K39" s="109" t="n">
        <f aca="false">1/(1+$B$25)^K38</f>
        <v>0.698822779223613</v>
      </c>
      <c r="L39" s="109" t="n">
        <f aca="false">1/(1+$B$25)^L38</f>
        <v>0.65048975905157</v>
      </c>
      <c r="M39" s="109" t="n">
        <f aca="false">1/(1+$B$25)^M38</f>
        <v>0.605499619089509</v>
      </c>
    </row>
    <row r="40" customFormat="false" ht="15" hidden="false" customHeight="false" outlineLevel="0" collapsed="false">
      <c r="A40" s="37" t="s">
        <v>860</v>
      </c>
      <c r="G40" s="67" t="n">
        <f aca="false">G37*G39</f>
        <v>3089.18715043051</v>
      </c>
      <c r="H40" s="67" t="n">
        <f aca="false">H37*H39</f>
        <v>3249.94102148745</v>
      </c>
      <c r="I40" s="67" t="n">
        <f aca="false">I37*I39</f>
        <v>3109.00310614586</v>
      </c>
      <c r="J40" s="67" t="n">
        <f aca="false">J37*J39</f>
        <v>2856.7039389787</v>
      </c>
      <c r="K40" s="67" t="n">
        <f aca="false">K37*K39</f>
        <v>2705.86534824311</v>
      </c>
      <c r="L40" s="67" t="n">
        <f aca="false">L37*L39</f>
        <v>2553.66494498757</v>
      </c>
      <c r="M40" s="67" t="n">
        <f aca="false">M37*M39</f>
        <v>2407.95894911139</v>
      </c>
    </row>
    <row r="42" customFormat="false" ht="15" hidden="false" customHeight="false" outlineLevel="0" collapsed="false">
      <c r="A42" s="37" t="s">
        <v>861</v>
      </c>
      <c r="B42" s="67" t="n">
        <f aca="false">SUM(G40:M40)</f>
        <v>19972.3244593846</v>
      </c>
    </row>
    <row r="44" customFormat="false" ht="15.75" hidden="false" customHeight="true" outlineLevel="0" collapsed="false">
      <c r="A44" s="5" t="s">
        <v>862</v>
      </c>
      <c r="B44" s="5"/>
      <c r="C44" s="5"/>
      <c r="D44" s="5"/>
      <c r="E44" s="5"/>
      <c r="F44" s="5"/>
      <c r="G44" s="5"/>
      <c r="H44" s="5"/>
      <c r="I44" s="5"/>
      <c r="J44" s="5"/>
      <c r="K44" s="5"/>
      <c r="L44" s="5"/>
      <c r="M44" s="5"/>
    </row>
    <row r="45" customFormat="false" ht="15" hidden="false" customHeight="false" outlineLevel="0" collapsed="false">
      <c r="A45" s="37" t="s">
        <v>863</v>
      </c>
    </row>
    <row r="46" customFormat="false" ht="15" hidden="false" customHeight="false" outlineLevel="0" collapsed="false">
      <c r="A46" s="6" t="s">
        <v>268</v>
      </c>
      <c r="B46" s="25" t="n">
        <f aca="false">Assumptions!B26</f>
        <v>0.025</v>
      </c>
    </row>
    <row r="47" customFormat="false" ht="15" hidden="false" customHeight="false" outlineLevel="0" collapsed="false">
      <c r="A47" s="6" t="s">
        <v>864</v>
      </c>
      <c r="B47" s="71" t="n">
        <f aca="false">M37*(1+B46)</f>
        <v>4076.23365073384</v>
      </c>
    </row>
    <row r="48" customFormat="false" ht="15" hidden="false" customHeight="false" outlineLevel="0" collapsed="false">
      <c r="A48" s="6" t="s">
        <v>865</v>
      </c>
      <c r="B48" s="71" t="n">
        <f aca="false">B47/(B25-B46)</f>
        <v>82678.0190513396</v>
      </c>
    </row>
    <row r="49" customFormat="false" ht="15" hidden="false" customHeight="false" outlineLevel="0" collapsed="false">
      <c r="A49" s="37" t="s">
        <v>866</v>
      </c>
      <c r="B49" s="67" t="n">
        <f aca="false">B48*M39</f>
        <v>50061.5090426613</v>
      </c>
    </row>
    <row r="51" customFormat="false" ht="15" hidden="false" customHeight="false" outlineLevel="0" collapsed="false">
      <c r="A51" s="37" t="s">
        <v>867</v>
      </c>
    </row>
    <row r="52" customFormat="false" ht="15" hidden="false" customHeight="false" outlineLevel="0" collapsed="false">
      <c r="A52" s="6" t="s">
        <v>868</v>
      </c>
      <c r="B52" s="71" t="n">
        <f aca="false">M30+M33</f>
        <v>10565.240707299</v>
      </c>
    </row>
    <row r="53" customFormat="false" ht="15" hidden="false" customHeight="false" outlineLevel="0" collapsed="false">
      <c r="A53" s="6" t="s">
        <v>869</v>
      </c>
      <c r="B53" s="27" t="n">
        <f aca="false">Assumptions!B28</f>
        <v>9</v>
      </c>
    </row>
    <row r="54" customFormat="false" ht="15" hidden="false" customHeight="false" outlineLevel="0" collapsed="false">
      <c r="A54" s="6" t="s">
        <v>870</v>
      </c>
      <c r="B54" s="71" t="n">
        <f aca="false">B52*B53</f>
        <v>95087.1663656914</v>
      </c>
    </row>
    <row r="55" customFormat="false" ht="15" hidden="false" customHeight="false" outlineLevel="0" collapsed="false">
      <c r="A55" s="37" t="s">
        <v>866</v>
      </c>
      <c r="B55" s="67" t="n">
        <f aca="false">B54*M39</f>
        <v>57575.2430147269</v>
      </c>
    </row>
    <row r="57" customFormat="false" ht="15" hidden="false" customHeight="false" outlineLevel="0" collapsed="false">
      <c r="A57" s="37" t="s">
        <v>871</v>
      </c>
      <c r="B57" s="67" t="n">
        <f aca="false">AVERAGE(B49,B55)</f>
        <v>53818.3760286941</v>
      </c>
    </row>
    <row r="59" customFormat="false" ht="15.75" hidden="false" customHeight="true" outlineLevel="0" collapsed="false">
      <c r="A59" s="5" t="s">
        <v>872</v>
      </c>
      <c r="B59" s="5"/>
      <c r="C59" s="5"/>
      <c r="D59" s="5"/>
      <c r="E59" s="5"/>
      <c r="F59" s="5"/>
      <c r="G59" s="5"/>
      <c r="H59" s="5"/>
      <c r="I59" s="5"/>
      <c r="J59" s="5"/>
      <c r="K59" s="5"/>
      <c r="L59" s="5"/>
      <c r="M59" s="5"/>
    </row>
    <row r="60" customFormat="false" ht="26.85" hidden="false" customHeight="false" outlineLevel="0" collapsed="false">
      <c r="B60" s="31" t="s">
        <v>873</v>
      </c>
      <c r="C60" s="31" t="s">
        <v>874</v>
      </c>
      <c r="D60" s="31" t="s">
        <v>875</v>
      </c>
    </row>
    <row r="61" customFormat="false" ht="15" hidden="false" customHeight="false" outlineLevel="0" collapsed="false">
      <c r="A61" s="6" t="s">
        <v>876</v>
      </c>
      <c r="B61" s="71" t="n">
        <f aca="false">$B$42</f>
        <v>19972.3244593846</v>
      </c>
      <c r="C61" s="71" t="n">
        <f aca="false">$B$42</f>
        <v>19972.3244593846</v>
      </c>
      <c r="D61" s="71" t="n">
        <f aca="false">$B$42</f>
        <v>19972.3244593846</v>
      </c>
    </row>
    <row r="62" customFormat="false" ht="15" hidden="false" customHeight="false" outlineLevel="0" collapsed="false">
      <c r="A62" s="6" t="s">
        <v>866</v>
      </c>
      <c r="B62" s="71" t="n">
        <f aca="false">B49</f>
        <v>50061.5090426613</v>
      </c>
      <c r="C62" s="71" t="n">
        <f aca="false">B55</f>
        <v>57575.2430147269</v>
      </c>
      <c r="D62" s="71" t="n">
        <f aca="false">B57</f>
        <v>53818.3760286941</v>
      </c>
    </row>
    <row r="63" customFormat="false" ht="15" hidden="false" customHeight="false" outlineLevel="0" collapsed="false">
      <c r="A63" s="37" t="s">
        <v>777</v>
      </c>
      <c r="B63" s="107" t="n">
        <f aca="false">B61+B62</f>
        <v>70033.8335020459</v>
      </c>
      <c r="C63" s="107" t="n">
        <f aca="false">C61+C62</f>
        <v>77547.5674741115</v>
      </c>
      <c r="D63" s="107" t="n">
        <f aca="false">D61+D62</f>
        <v>73790.7004880787</v>
      </c>
    </row>
    <row r="64" customFormat="false" ht="15" hidden="false" customHeight="false" outlineLevel="0" collapsed="false">
      <c r="A64" s="38" t="s">
        <v>877</v>
      </c>
      <c r="B64" s="39" t="n">
        <f aca="false">B62/B63</f>
        <v>0.714818917362261</v>
      </c>
      <c r="C64" s="39" t="n">
        <f aca="false">C62/C63</f>
        <v>0.742450664670402</v>
      </c>
      <c r="D64" s="39" t="n">
        <f aca="false">D62/D63</f>
        <v>0.729338191299441</v>
      </c>
    </row>
    <row r="65" customFormat="false" ht="15" hidden="false" customHeight="false" outlineLevel="0" collapsed="false">
      <c r="A65" s="6" t="s">
        <v>878</v>
      </c>
      <c r="B65" s="71" t="n">
        <f aca="false">-$B$17</f>
        <v>-15357</v>
      </c>
      <c r="C65" s="71" t="n">
        <f aca="false">-$B$17</f>
        <v>-15357</v>
      </c>
      <c r="D65" s="71" t="n">
        <f aca="false">-$B$17</f>
        <v>-15357</v>
      </c>
    </row>
    <row r="66" customFormat="false" ht="15" hidden="false" customHeight="false" outlineLevel="0" collapsed="false">
      <c r="A66" s="6" t="s">
        <v>879</v>
      </c>
      <c r="B66" s="71" t="n">
        <f aca="false">-$B$19</f>
        <v>-3462</v>
      </c>
      <c r="C66" s="71" t="n">
        <f aca="false">-$B$19</f>
        <v>-3462</v>
      </c>
      <c r="D66" s="71" t="n">
        <f aca="false">-$B$19</f>
        <v>-3462</v>
      </c>
    </row>
    <row r="67" customFormat="false" ht="15" hidden="false" customHeight="false" outlineLevel="0" collapsed="false">
      <c r="A67" s="6" t="s">
        <v>880</v>
      </c>
      <c r="B67" s="71" t="n">
        <f aca="false">$B$18</f>
        <v>5488</v>
      </c>
      <c r="C67" s="71" t="n">
        <f aca="false">$B$18</f>
        <v>5488</v>
      </c>
      <c r="D67" s="71" t="n">
        <f aca="false">$B$18</f>
        <v>5488</v>
      </c>
    </row>
    <row r="68" customFormat="false" ht="15" hidden="false" customHeight="false" outlineLevel="0" collapsed="false">
      <c r="A68" s="37" t="s">
        <v>881</v>
      </c>
      <c r="B68" s="107" t="n">
        <f aca="false">B63-$B$17-$B$19+$B$18</f>
        <v>56702.8335020459</v>
      </c>
      <c r="C68" s="107" t="n">
        <f aca="false">C63-$B$17-$B$19+$B$18</f>
        <v>64216.5674741115</v>
      </c>
      <c r="D68" s="107" t="n">
        <f aca="false">D63-$B$17-$B$19+$B$18</f>
        <v>60459.7004880787</v>
      </c>
    </row>
    <row r="69" customFormat="false" ht="15" hidden="false" customHeight="false" outlineLevel="0" collapsed="false">
      <c r="A69" s="6" t="s">
        <v>882</v>
      </c>
      <c r="B69" s="110" t="n">
        <f aca="false">'Capital Allocation'!G37</f>
        <v>455.6</v>
      </c>
      <c r="C69" s="110" t="n">
        <f aca="false">'Capital Allocation'!G37</f>
        <v>455.6</v>
      </c>
      <c r="D69" s="110" t="n">
        <f aca="false">'Capital Allocation'!G37</f>
        <v>455.6</v>
      </c>
    </row>
    <row r="70" customFormat="false" ht="15" hidden="false" customHeight="false" outlineLevel="0" collapsed="false">
      <c r="A70" s="16" t="s">
        <v>883</v>
      </c>
      <c r="B70" s="16"/>
      <c r="C70" s="16"/>
      <c r="D70" s="16"/>
      <c r="E70" s="16"/>
      <c r="F70" s="16"/>
    </row>
    <row r="71" customFormat="false" ht="15" hidden="false" customHeight="false" outlineLevel="0" collapsed="false">
      <c r="A71" s="37" t="s">
        <v>818</v>
      </c>
      <c r="B71" s="100" t="n">
        <f aca="false">B68/B69</f>
        <v>124.457492322313</v>
      </c>
      <c r="C71" s="100" t="n">
        <f aca="false">C68/C69</f>
        <v>140.949445728954</v>
      </c>
      <c r="D71" s="100" t="n">
        <f aca="false">D68/D69</f>
        <v>132.703469025634</v>
      </c>
    </row>
    <row r="72" customFormat="false" ht="15" hidden="false" customHeight="false" outlineLevel="0" collapsed="false">
      <c r="A72" s="6" t="s">
        <v>884</v>
      </c>
      <c r="B72" s="99" t="n">
        <v>159</v>
      </c>
      <c r="C72" s="99" t="n">
        <v>159</v>
      </c>
      <c r="D72" s="99" t="n">
        <v>159</v>
      </c>
    </row>
    <row r="73" customFormat="false" ht="15" hidden="false" customHeight="false" outlineLevel="0" collapsed="false">
      <c r="A73" s="37" t="s">
        <v>885</v>
      </c>
      <c r="B73" s="69" t="n">
        <f aca="false">B71/B72-1</f>
        <v>-0.217248475960295</v>
      </c>
      <c r="C73" s="69" t="n">
        <f aca="false">C71/C72-1</f>
        <v>-0.113525498560037</v>
      </c>
      <c r="D73" s="69" t="n">
        <f aca="false">D71/D72-1</f>
        <v>-0.165386987260166</v>
      </c>
    </row>
    <row r="75" customFormat="false" ht="15" hidden="false" customHeight="false" outlineLevel="0" collapsed="false">
      <c r="A75" s="16" t="s">
        <v>886</v>
      </c>
      <c r="B75" s="16"/>
      <c r="C75" s="16"/>
      <c r="D75" s="16"/>
      <c r="E75" s="16"/>
      <c r="F75" s="16"/>
      <c r="G75" s="16"/>
      <c r="H75" s="16"/>
      <c r="I75" s="16"/>
      <c r="J75" s="16"/>
      <c r="K75" s="16"/>
      <c r="L75" s="16"/>
      <c r="M75" s="16"/>
    </row>
    <row r="77" customFormat="false" ht="15.75" hidden="false" customHeight="true" outlineLevel="0" collapsed="false">
      <c r="A77" s="5" t="s">
        <v>887</v>
      </c>
      <c r="B77" s="5"/>
      <c r="C77" s="5"/>
      <c r="D77" s="5"/>
      <c r="E77" s="5"/>
      <c r="F77" s="5"/>
      <c r="G77" s="5"/>
      <c r="H77" s="5"/>
      <c r="I77" s="5"/>
      <c r="J77" s="5"/>
      <c r="K77" s="5"/>
      <c r="L77" s="5"/>
      <c r="M77" s="5"/>
    </row>
    <row r="78" customFormat="false" ht="15" hidden="false" customHeight="false" outlineLevel="0" collapsed="false">
      <c r="A78" s="16" t="s">
        <v>888</v>
      </c>
      <c r="B78" s="16"/>
      <c r="C78" s="16"/>
      <c r="D78" s="16"/>
      <c r="E78" s="16"/>
      <c r="F78" s="16"/>
      <c r="G78" s="16"/>
      <c r="H78" s="16"/>
      <c r="I78" s="16"/>
      <c r="J78" s="16"/>
      <c r="K78" s="16"/>
      <c r="L78" s="16"/>
      <c r="M78" s="16"/>
    </row>
    <row r="79" customFormat="false" ht="15" hidden="false" customHeight="false" outlineLevel="0" collapsed="false">
      <c r="A79" s="38" t="s">
        <v>889</v>
      </c>
      <c r="G79" s="24" t="n">
        <f aca="false">'Income Statement'!G7</f>
        <v>110010.971659967</v>
      </c>
      <c r="H79" s="24" t="n">
        <f aca="false">'Income Statement'!H7</f>
        <v>114132.857033237</v>
      </c>
      <c r="I79" s="24" t="n">
        <f aca="false">'Income Statement'!I7</f>
        <v>117379.264579684</v>
      </c>
      <c r="J79" s="24" t="n">
        <f aca="false">'Income Statement'!J7</f>
        <v>120425.67178023</v>
      </c>
      <c r="K79" s="24" t="n">
        <f aca="false">'Income Statement'!K7</f>
        <v>123545.477158804</v>
      </c>
      <c r="L79" s="24" t="n">
        <f aca="false">'Income Statement'!L7</f>
        <v>126607.821889093</v>
      </c>
      <c r="M79" s="24" t="n">
        <f aca="false">'Income Statement'!M7</f>
        <v>129787.902913821</v>
      </c>
    </row>
    <row r="80" customFormat="false" ht="15" hidden="false" customHeight="false" outlineLevel="0" collapsed="false">
      <c r="A80" s="38" t="s">
        <v>890</v>
      </c>
      <c r="G80" s="39" t="n">
        <f aca="false">(G30+G33)/G79</f>
        <v>0.0847344710229609</v>
      </c>
      <c r="H80" s="39" t="n">
        <f aca="false">(H30+H33)/H79</f>
        <v>0.0853029181024613</v>
      </c>
      <c r="I80" s="39" t="n">
        <f aca="false">(I30+I33)/I79</f>
        <v>0.0849024421163945</v>
      </c>
      <c r="J80" s="39" t="n">
        <f aca="false">(J30+J33)/J79</f>
        <v>0.083991793019908</v>
      </c>
      <c r="K80" s="39" t="n">
        <f aca="false">(K30+K33)/K79</f>
        <v>0.0831454762629849</v>
      </c>
      <c r="L80" s="39" t="n">
        <f aca="false">(L30+L33)/L79</f>
        <v>0.0822313723209794</v>
      </c>
      <c r="M80" s="39" t="n">
        <f aca="false">(M30+M33)/M79</f>
        <v>0.0814038941234327</v>
      </c>
    </row>
    <row r="81" customFormat="false" ht="15" hidden="false" customHeight="false" outlineLevel="0" collapsed="false">
      <c r="A81" s="38" t="s">
        <v>891</v>
      </c>
      <c r="G81" s="73" t="n">
        <f aca="false">G33</f>
        <v>3408.25505660377</v>
      </c>
      <c r="H81" s="73" t="n">
        <f aca="false">H33</f>
        <v>3587.44543056959</v>
      </c>
      <c r="I81" s="73" t="n">
        <f aca="false">I33</f>
        <v>3805.17515813166</v>
      </c>
      <c r="J81" s="73" t="n">
        <f aca="false">J33</f>
        <v>4047.15953427741</v>
      </c>
      <c r="K81" s="73" t="n">
        <f aca="false">K33</f>
        <v>4311.78299970329</v>
      </c>
      <c r="L81" s="73" t="n">
        <f aca="false">L33</f>
        <v>4608.3842363498</v>
      </c>
      <c r="M81" s="73" t="n">
        <f aca="false">M33</f>
        <v>4936.40526823123</v>
      </c>
    </row>
    <row r="82" customFormat="false" ht="15" hidden="false" customHeight="false" outlineLevel="0" collapsed="false">
      <c r="A82" s="38" t="s">
        <v>892</v>
      </c>
      <c r="G82" s="73" t="n">
        <f aca="false">G34</f>
        <v>-5000</v>
      </c>
      <c r="H82" s="73" t="n">
        <f aca="false">H34</f>
        <v>-5120.80660487524</v>
      </c>
      <c r="I82" s="73" t="n">
        <f aca="false">I34</f>
        <v>-5222.76905262143</v>
      </c>
      <c r="J82" s="73" t="n">
        <f aca="false">J34</f>
        <v>-5096.6008441304</v>
      </c>
      <c r="K82" s="73" t="n">
        <f aca="false">K34</f>
        <v>-5214.92343984866</v>
      </c>
      <c r="L82" s="73" t="n">
        <f aca="false">L34</f>
        <v>-5332.58795321434</v>
      </c>
      <c r="M82" s="73" t="n">
        <f aca="false">M34</f>
        <v>-5480.62397227038</v>
      </c>
    </row>
    <row r="83" customFormat="false" ht="15" hidden="false" customHeight="false" outlineLevel="0" collapsed="false">
      <c r="A83" s="38" t="s">
        <v>893</v>
      </c>
      <c r="G83" s="73" t="n">
        <f aca="false">G35</f>
        <v>327.529958967648</v>
      </c>
      <c r="H83" s="73" t="n">
        <f aca="false">H35</f>
        <v>519.176455193221</v>
      </c>
      <c r="I83" s="73" t="n">
        <f aca="false">I35</f>
        <v>497.91210316562</v>
      </c>
      <c r="J83" s="73" t="n">
        <f aca="false">J35</f>
        <v>152.193005543904</v>
      </c>
      <c r="K83" s="73" t="n">
        <f aca="false">K35</f>
        <v>155.814117938845</v>
      </c>
      <c r="L83" s="73" t="n">
        <f aca="false">L35</f>
        <v>152.829259289342</v>
      </c>
      <c r="M83" s="73" t="n">
        <f aca="false">M35</f>
        <v>158.684556550702</v>
      </c>
    </row>
    <row r="84" customFormat="false" ht="15" hidden="false" customHeight="false" outlineLevel="0" collapsed="false">
      <c r="A84" s="38" t="s">
        <v>894</v>
      </c>
      <c r="G84" s="25" t="n">
        <f aca="false">Assumptions!G10</f>
        <v>0.225</v>
      </c>
      <c r="H84" s="25" t="n">
        <f aca="false">Assumptions!H10</f>
        <v>0.225</v>
      </c>
      <c r="I84" s="25" t="n">
        <f aca="false">Assumptions!I10</f>
        <v>0.225</v>
      </c>
      <c r="J84" s="25" t="n">
        <f aca="false">Assumptions!J10</f>
        <v>0.225</v>
      </c>
      <c r="K84" s="25" t="n">
        <f aca="false">Assumptions!K10</f>
        <v>0.225</v>
      </c>
      <c r="L84" s="25" t="n">
        <f aca="false">Assumptions!L10</f>
        <v>0.225</v>
      </c>
      <c r="M84" s="25" t="n">
        <f aca="false">Assumptions!M10</f>
        <v>0.225</v>
      </c>
    </row>
    <row r="86" customFormat="false" ht="15.75" hidden="false" customHeight="true" outlineLevel="0" collapsed="false">
      <c r="A86" s="5" t="s">
        <v>895</v>
      </c>
      <c r="B86" s="5"/>
      <c r="C86" s="5"/>
      <c r="D86" s="5"/>
      <c r="E86" s="5"/>
      <c r="F86" s="5"/>
      <c r="G86" s="5"/>
      <c r="H86" s="5"/>
      <c r="I86" s="5"/>
      <c r="J86" s="5"/>
      <c r="K86" s="5"/>
      <c r="L86" s="5"/>
      <c r="M86" s="5"/>
    </row>
    <row r="87" customFormat="false" ht="15" hidden="false" customHeight="false" outlineLevel="0" collapsed="false">
      <c r="A87" s="16" t="s">
        <v>896</v>
      </c>
      <c r="B87" s="16"/>
      <c r="C87" s="16"/>
      <c r="D87" s="16"/>
      <c r="E87" s="16"/>
      <c r="F87" s="16"/>
      <c r="G87" s="16"/>
      <c r="H87" s="16"/>
      <c r="I87" s="16"/>
      <c r="J87" s="16"/>
      <c r="K87" s="16"/>
      <c r="L87" s="16"/>
      <c r="M87" s="16"/>
    </row>
    <row r="88" customFormat="false" ht="15" hidden="false" customHeight="false" outlineLevel="0" collapsed="false">
      <c r="A88" s="37" t="s">
        <v>897</v>
      </c>
      <c r="B88" s="111" t="n">
        <f aca="false">$B$46+(-0.005)</f>
        <v>0.02</v>
      </c>
      <c r="C88" s="111" t="n">
        <f aca="false">$B$46+(-0.0025)</f>
        <v>0.0225</v>
      </c>
      <c r="D88" s="111" t="n">
        <f aca="false">$B$46+(0)</f>
        <v>0.025</v>
      </c>
      <c r="E88" s="111" t="n">
        <f aca="false">$B$46+(0.0025)</f>
        <v>0.0275</v>
      </c>
      <c r="F88" s="111" t="n">
        <f aca="false">$B$46+(0.005)</f>
        <v>0.03</v>
      </c>
    </row>
    <row r="89" customFormat="false" ht="15" hidden="false" customHeight="false" outlineLevel="0" collapsed="false">
      <c r="A89" s="112" t="n">
        <f aca="false">$B$25+(-0.01)</f>
        <v>0.0643025074560951</v>
      </c>
      <c r="B89" s="113" t="n">
        <f aca="false">(NPV($A89,$G$37:$M$37)+($M$37*(1+B$88))/($A89-B$88)/(1+$A89)^7-$B$17-$B$19+$B$18)/$B$69</f>
        <v>146.091547231512</v>
      </c>
      <c r="C89" s="113" t="n">
        <f aca="false">(NPV($A89,$G$37:$M$37)+($M$37*(1+C$88))/($A89-C$88)/(1+$A89)^7-$B$17-$B$19+$B$18)/$B$69</f>
        <v>154.198737122861</v>
      </c>
      <c r="D89" s="113" t="n">
        <f aca="false">(NPV($A89,$G$37:$M$37)+($M$37*(1+D$88))/($A89-D$88)/(1+$A89)^7-$B$17-$B$19+$B$18)/$B$69</f>
        <v>163.337310304501</v>
      </c>
      <c r="E89" s="113" t="n">
        <f aca="false">(NPV($A89,$G$37:$M$37)+($M$37*(1+E$88))/($A89-E$88)/(1+$A89)^7-$B$17-$B$19+$B$18)/$B$69</f>
        <v>173.717452853737</v>
      </c>
      <c r="F89" s="113" t="n">
        <f aca="false">(NPV($A89,$G$37:$M$37)+($M$37*(1+F$88))/($A89-F$88)/(1+$A89)^7-$B$17-$B$19+$B$18)/$B$69</f>
        <v>185.610625108239</v>
      </c>
    </row>
    <row r="90" customFormat="false" ht="15" hidden="false" customHeight="false" outlineLevel="0" collapsed="false">
      <c r="A90" s="112" t="n">
        <f aca="false">$B$25+(-0.005)</f>
        <v>0.0693025074560951</v>
      </c>
      <c r="B90" s="113" t="n">
        <f aca="false">(NPV($A90,$G$37:$M$37)+($M$37*(1+B$88))/($A90-B$88)/(1+$A90)^7-$B$17-$B$19+$B$18)/$B$69</f>
        <v>128.338658606983</v>
      </c>
      <c r="C90" s="113" t="n">
        <f aca="false">(NPV($A90,$G$37:$M$37)+($M$37*(1+C$88))/($A90-C$88)/(1+$A90)^7-$B$17-$B$19+$B$18)/$B$69</f>
        <v>134.664959700936</v>
      </c>
      <c r="D90" s="113" t="n">
        <f aca="false">(NPV($A90,$G$37:$M$37)+($M$37*(1+D$88))/($A90-D$88)/(1+$A90)^7-$B$17-$B$19+$B$18)/$B$69</f>
        <v>141.705249850727</v>
      </c>
      <c r="E90" s="113" t="n">
        <f aca="false">(NPV($A90,$G$37:$M$37)+($M$37*(1+E$88))/($A90-E$88)/(1+$A90)^7-$B$17-$B$19+$B$18)/$B$69</f>
        <v>149.587629456178</v>
      </c>
      <c r="F90" s="113" t="n">
        <f aca="false">(NPV($A90,$G$37:$M$37)+($M$37*(1+F$88))/($A90-F$88)/(1+$A90)^7-$B$17-$B$19+$B$18)/$B$69</f>
        <v>158.472792359139</v>
      </c>
    </row>
    <row r="91" customFormat="false" ht="15" hidden="false" customHeight="false" outlineLevel="0" collapsed="false">
      <c r="A91" s="112" t="n">
        <f aca="false">$B$25+(0)</f>
        <v>0.0743025074560951</v>
      </c>
      <c r="B91" s="113" t="n">
        <f aca="false">(NPV($A91,$G$37:$M$37)+($M$37*(1+B$88))/($A91-B$88)/(1+$A91)^7-$B$17-$B$19+$B$18)/$B$69</f>
        <v>113.853410606754</v>
      </c>
      <c r="C91" s="113" t="n">
        <f aca="false">(NPV($A91,$G$37:$M$37)+($M$37*(1+C$88))/($A91-C$88)/(1+$A91)^7-$B$17-$B$19+$B$18)/$B$69</f>
        <v>118.899573847882</v>
      </c>
      <c r="D91" s="100" t="n">
        <f aca="false">(NPV($A91,$G$37:$M$37)+($M$37*(1+D$88))/($A91-D$88)/(1+$A91)^7-$B$17-$B$19+$B$18)/$B$69</f>
        <v>124.457492322313</v>
      </c>
      <c r="E91" s="113" t="n">
        <f aca="false">(NPV($A91,$G$37:$M$37)+($M$37*(1+E$88))/($A91-E$88)/(1+$A91)^7-$B$17-$B$19+$B$18)/$B$69</f>
        <v>130.609173692851</v>
      </c>
      <c r="F91" s="113" t="n">
        <f aca="false">(NPV($A91,$G$37:$M$37)+($M$37*(1+F$88))/($A91-F$88)/(1+$A91)^7-$B$17-$B$19+$B$18)/$B$69</f>
        <v>137.455136462317</v>
      </c>
    </row>
    <row r="92" customFormat="false" ht="15" hidden="false" customHeight="false" outlineLevel="0" collapsed="false">
      <c r="A92" s="112" t="n">
        <f aca="false">$B$25+(0.005)</f>
        <v>0.0793025074560951</v>
      </c>
      <c r="B92" s="113" t="n">
        <f aca="false">(NPV($A92,$G$37:$M$37)+($M$37*(1+B$88))/($A92-B$88)/(1+$A92)^7-$B$17-$B$19+$B$18)/$B$69</f>
        <v>101.809337405332</v>
      </c>
      <c r="C92" s="113" t="n">
        <f aca="false">(NPV($A92,$G$37:$M$37)+($M$37*(1+C$88))/($A92-C$88)/(1+$A92)^7-$B$17-$B$19+$B$18)/$B$69</f>
        <v>105.907524840744</v>
      </c>
      <c r="D92" s="113" t="n">
        <f aca="false">(NPV($A92,$G$37:$M$37)+($M$37*(1+D$88))/($A92-D$88)/(1+$A92)^7-$B$17-$B$19+$B$18)/$B$69</f>
        <v>110.383060176594</v>
      </c>
      <c r="E92" s="113" t="n">
        <f aca="false">(NPV($A92,$G$37:$M$37)+($M$37*(1+E$88))/($A92-E$88)/(1+$A92)^7-$B$17-$B$19+$B$18)/$B$69</f>
        <v>115.290576082076</v>
      </c>
      <c r="F92" s="113" t="n">
        <f aca="false">(NPV($A92,$G$37:$M$37)+($M$37*(1+F$88))/($A92-F$88)/(1+$A92)^7-$B$17-$B$19+$B$18)/$B$69</f>
        <v>120.695786340106</v>
      </c>
    </row>
    <row r="93" customFormat="false" ht="15" hidden="false" customHeight="false" outlineLevel="0" collapsed="false">
      <c r="A93" s="112" t="n">
        <f aca="false">$B$25+(0.01)</f>
        <v>0.0843025074560951</v>
      </c>
      <c r="B93" s="113" t="n">
        <f aca="false">(NPV($A93,$G$37:$M$37)+($M$37*(1+B$88))/($A93-B$88)/(1+$A93)^7-$B$17-$B$19+$B$18)/$B$69</f>
        <v>91.6370269134978</v>
      </c>
      <c r="C93" s="113" t="n">
        <f aca="false">(NPV($A93,$G$37:$M$37)+($M$37*(1+C$88))/($A93-C$88)/(1+$A93)^7-$B$17-$B$19+$B$18)/$B$69</f>
        <v>95.0157665077689</v>
      </c>
      <c r="D93" s="113" t="n">
        <f aca="false">(NPV($A93,$G$37:$M$37)+($M$37*(1+D$88))/($A93-D$88)/(1+$A93)^7-$B$17-$B$19+$B$18)/$B$69</f>
        <v>98.6793793510146</v>
      </c>
      <c r="E93" s="113" t="n">
        <f aca="false">(NPV($A93,$G$37:$M$37)+($M$37*(1+E$88))/($A93-E$88)/(1+$A93)^7-$B$17-$B$19+$B$18)/$B$69</f>
        <v>102.66547908853</v>
      </c>
      <c r="F93" s="113" t="n">
        <f aca="false">(NPV($A93,$G$37:$M$37)+($M$37*(1+F$88))/($A93-F$88)/(1+$A93)^7-$B$17-$B$19+$B$18)/$B$69</f>
        <v>107.018606052249</v>
      </c>
    </row>
    <row r="96" customFormat="false" ht="15.75" hidden="false" customHeight="true" outlineLevel="0" collapsed="false">
      <c r="A96" s="5" t="s">
        <v>898</v>
      </c>
      <c r="B96" s="5"/>
      <c r="C96" s="5"/>
      <c r="D96" s="5"/>
      <c r="E96" s="5"/>
      <c r="F96" s="5"/>
      <c r="G96" s="5"/>
      <c r="H96" s="5"/>
      <c r="I96" s="5"/>
      <c r="J96" s="5"/>
      <c r="K96" s="5"/>
      <c r="L96" s="5"/>
      <c r="M96" s="5"/>
    </row>
    <row r="97" customFormat="false" ht="15" hidden="false" customHeight="false" outlineLevel="0" collapsed="false">
      <c r="A97" s="16" t="s">
        <v>899</v>
      </c>
      <c r="B97" s="16"/>
      <c r="C97" s="16"/>
      <c r="D97" s="16"/>
      <c r="E97" s="16"/>
      <c r="F97" s="16"/>
      <c r="G97" s="16"/>
      <c r="H97" s="16"/>
      <c r="I97" s="16"/>
      <c r="J97" s="16"/>
      <c r="K97" s="16"/>
      <c r="L97" s="16"/>
      <c r="M97" s="16"/>
    </row>
    <row r="98" customFormat="false" ht="15" hidden="false" customHeight="false" outlineLevel="0" collapsed="false">
      <c r="A98" s="37" t="s">
        <v>900</v>
      </c>
      <c r="B98" s="114" t="n">
        <f aca="false">$B$53+(-1)</f>
        <v>8</v>
      </c>
      <c r="C98" s="114" t="n">
        <f aca="false">$B$53+(-0.5)</f>
        <v>8.5</v>
      </c>
      <c r="D98" s="114" t="n">
        <f aca="false">$B$53+(0)</f>
        <v>9</v>
      </c>
      <c r="E98" s="114" t="n">
        <f aca="false">$B$53+(0.5)</f>
        <v>9.5</v>
      </c>
      <c r="F98" s="114" t="n">
        <f aca="false">$B$53+(1)</f>
        <v>10</v>
      </c>
    </row>
    <row r="99" customFormat="false" ht="15" hidden="false" customHeight="false" outlineLevel="0" collapsed="false">
      <c r="A99" s="112" t="n">
        <f aca="false">$B$25+(-0.01)</f>
        <v>0.0643025074560951</v>
      </c>
      <c r="B99" s="113" t="n">
        <f aca="false">(NPV($A99,$G$37:$M$37)+($B$52*B$98)/(1+$A99)^7-$B$17-$B$19+$B$18)/$B$69</f>
        <v>136.104634544434</v>
      </c>
      <c r="C99" s="113" t="n">
        <f aca="false">(NPV($A99,$G$37:$M$37)+($B$52*C$98)/(1+$A99)^7-$B$17-$B$19+$B$18)/$B$69</f>
        <v>143.60029814634</v>
      </c>
      <c r="D99" s="113" t="n">
        <f aca="false">(NPV($A99,$G$37:$M$37)+($B$52*D$98)/(1+$A99)^7-$B$17-$B$19+$B$18)/$B$69</f>
        <v>151.095961748245</v>
      </c>
      <c r="E99" s="113" t="n">
        <f aca="false">(NPV($A99,$G$37:$M$37)+($B$52*E$98)/(1+$A99)^7-$B$17-$B$19+$B$18)/$B$69</f>
        <v>158.591625350151</v>
      </c>
      <c r="F99" s="113" t="n">
        <f aca="false">(NPV($A99,$G$37:$M$37)+($B$52*F$98)/(1+$A99)^7-$B$17-$B$19+$B$18)/$B$69</f>
        <v>166.087288952057</v>
      </c>
    </row>
    <row r="100" customFormat="false" ht="15" hidden="false" customHeight="false" outlineLevel="0" collapsed="false">
      <c r="A100" s="112" t="n">
        <f aca="false">$B$25+(-0.005)</f>
        <v>0.0693025074560951</v>
      </c>
      <c r="B100" s="113" t="n">
        <f aca="false">(NPV($A100,$G$37:$M$37)+($B$52*B$98)/(1+$A100)^7-$B$17-$B$19+$B$18)/$B$69</f>
        <v>131.424379372791</v>
      </c>
      <c r="C100" s="113" t="n">
        <f aca="false">(NPV($A100,$G$37:$M$37)+($B$52*C$98)/(1+$A100)^7-$B$17-$B$19+$B$18)/$B$69</f>
        <v>138.678112750828</v>
      </c>
      <c r="D100" s="113" t="n">
        <f aca="false">(NPV($A100,$G$37:$M$37)+($B$52*D$98)/(1+$A100)^7-$B$17-$B$19+$B$18)/$B$69</f>
        <v>145.931846128865</v>
      </c>
      <c r="E100" s="113" t="n">
        <f aca="false">(NPV($A100,$G$37:$M$37)+($B$52*E$98)/(1+$A100)^7-$B$17-$B$19+$B$18)/$B$69</f>
        <v>153.185579506903</v>
      </c>
      <c r="F100" s="113" t="n">
        <f aca="false">(NPV($A100,$G$37:$M$37)+($B$52*F$98)/(1+$A100)^7-$B$17-$B$19+$B$18)/$B$69</f>
        <v>160.43931288494</v>
      </c>
    </row>
    <row r="101" customFormat="false" ht="15" hidden="false" customHeight="false" outlineLevel="0" collapsed="false">
      <c r="A101" s="112" t="n">
        <f aca="false">$B$25+(0)</f>
        <v>0.0743025074560951</v>
      </c>
      <c r="B101" s="113" t="n">
        <f aca="false">(NPV($A101,$G$37:$M$37)+($B$52*B$98)/(1+$A101)^7-$B$17-$B$19+$B$18)/$B$69</f>
        <v>126.908073420222</v>
      </c>
      <c r="C101" s="113" t="n">
        <f aca="false">(NPV($A101,$G$37:$M$37)+($B$52*C$98)/(1+$A101)^7-$B$17-$B$19+$B$18)/$B$69</f>
        <v>133.928759574588</v>
      </c>
      <c r="D101" s="100" t="n">
        <f aca="false">(NPV($A101,$G$37:$M$37)+($B$52*D$98)/(1+$A101)^7-$B$17-$B$19+$B$18)/$B$69</f>
        <v>140.949445728954</v>
      </c>
      <c r="E101" s="113" t="n">
        <f aca="false">(NPV($A101,$G$37:$M$37)+($B$52*E$98)/(1+$A101)^7-$B$17-$B$19+$B$18)/$B$69</f>
        <v>147.97013188332</v>
      </c>
      <c r="F101" s="113" t="n">
        <f aca="false">(NPV($A101,$G$37:$M$37)+($B$52*F$98)/(1+$A101)^7-$B$17-$B$19+$B$18)/$B$69</f>
        <v>154.990818037687</v>
      </c>
    </row>
    <row r="102" customFormat="false" ht="15" hidden="false" customHeight="false" outlineLevel="0" collapsed="false">
      <c r="A102" s="112" t="n">
        <f aca="false">$B$25+(0.005)</f>
        <v>0.0793025074560951</v>
      </c>
      <c r="B102" s="113" t="n">
        <f aca="false">(NPV($A102,$G$37:$M$37)+($B$52*B$98)/(1+$A102)^7-$B$17-$B$19+$B$18)/$B$69</f>
        <v>122.549135095864</v>
      </c>
      <c r="C102" s="113" t="n">
        <f aca="false">(NPV($A102,$G$37:$M$37)+($B$52*C$98)/(1+$A102)^7-$B$17-$B$19+$B$18)/$B$69</f>
        <v>129.3452917782</v>
      </c>
      <c r="D102" s="113" t="n">
        <f aca="false">(NPV($A102,$G$37:$M$37)+($B$52*D$98)/(1+$A102)^7-$B$17-$B$19+$B$18)/$B$69</f>
        <v>136.141448460536</v>
      </c>
      <c r="E102" s="113" t="n">
        <f aca="false">(NPV($A102,$G$37:$M$37)+($B$52*E$98)/(1+$A102)^7-$B$17-$B$19+$B$18)/$B$69</f>
        <v>142.937605142872</v>
      </c>
      <c r="F102" s="113" t="n">
        <f aca="false">(NPV($A102,$G$37:$M$37)+($B$52*F$98)/(1+$A102)^7-$B$17-$B$19+$B$18)/$B$69</f>
        <v>149.733761825209</v>
      </c>
    </row>
    <row r="103" customFormat="false" ht="15" hidden="false" customHeight="false" outlineLevel="0" collapsed="false">
      <c r="A103" s="112" t="n">
        <f aca="false">$B$25+(0.01)</f>
        <v>0.0843025074560951</v>
      </c>
      <c r="B103" s="113" t="n">
        <f aca="false">(NPV($A103,$G$37:$M$37)+($B$52*B$98)/(1+$A103)^7-$B$17-$B$19+$B$18)/$B$69</f>
        <v>118.341277829039</v>
      </c>
      <c r="C103" s="113" t="n">
        <f aca="false">(NPV($A103,$G$37:$M$37)+($B$52*C$98)/(1+$A103)^7-$B$17-$B$19+$B$18)/$B$69</f>
        <v>124.921074153237</v>
      </c>
      <c r="D103" s="113" t="n">
        <f aca="false">(NPV($A103,$G$37:$M$37)+($B$52*D$98)/(1+$A103)^7-$B$17-$B$19+$B$18)/$B$69</f>
        <v>131.500870477435</v>
      </c>
      <c r="E103" s="113" t="n">
        <f aca="false">(NPV($A103,$G$37:$M$37)+($B$52*E$98)/(1+$A103)^7-$B$17-$B$19+$B$18)/$B$69</f>
        <v>138.080666801633</v>
      </c>
      <c r="F103" s="113" t="n">
        <f aca="false">(NPV($A103,$G$37:$M$37)+($B$52*F$98)/(1+$A103)^7-$B$17-$B$19+$B$18)/$B$69</f>
        <v>144.660463125831</v>
      </c>
    </row>
    <row r="106" customFormat="false" ht="15.75" hidden="false" customHeight="true" outlineLevel="0" collapsed="false">
      <c r="A106" s="5" t="s">
        <v>901</v>
      </c>
      <c r="B106" s="5"/>
      <c r="C106" s="5"/>
      <c r="D106" s="5"/>
      <c r="E106" s="5"/>
      <c r="F106" s="5"/>
      <c r="G106" s="5"/>
      <c r="H106" s="5"/>
      <c r="I106" s="5"/>
      <c r="J106" s="5"/>
      <c r="K106" s="5"/>
      <c r="L106" s="5"/>
      <c r="M106" s="5"/>
    </row>
    <row r="107" customFormat="false" ht="15" hidden="false" customHeight="false" outlineLevel="0" collapsed="false">
      <c r="A107" s="16" t="s">
        <v>902</v>
      </c>
      <c r="B107" s="16"/>
      <c r="C107" s="16"/>
      <c r="D107" s="16"/>
      <c r="E107" s="16"/>
      <c r="F107" s="16"/>
      <c r="G107" s="16"/>
      <c r="H107" s="16"/>
      <c r="I107" s="16"/>
      <c r="J107" s="16"/>
      <c r="K107" s="16"/>
      <c r="L107" s="16"/>
      <c r="M107" s="16"/>
    </row>
    <row r="108" customFormat="false" ht="15" hidden="false" customHeight="false" outlineLevel="0" collapsed="false">
      <c r="A108" s="37" t="s">
        <v>903</v>
      </c>
      <c r="B108" s="115" t="n">
        <v>-0.01</v>
      </c>
      <c r="C108" s="115" t="n">
        <v>-0.005</v>
      </c>
      <c r="D108" s="115" t="n">
        <v>0</v>
      </c>
      <c r="E108" s="115" t="n">
        <v>0.005</v>
      </c>
      <c r="F108" s="115" t="n">
        <v>0.01</v>
      </c>
    </row>
    <row r="109" customFormat="false" ht="15" hidden="false" customHeight="false" outlineLevel="0" collapsed="false">
      <c r="A109" s="116" t="n">
        <v>-0.02</v>
      </c>
      <c r="B109" s="113" t="n">
        <f aca="false">(((((((G79*(1+$A109)^1)*(G80+B$108))-G81)*(1-G84))+G81+(G82*(G79*(1+$A109)^1)/G79)+(G83*(G79*(1+$A109)^1)/G79))/(1+$B$25)^1+(((((H79*(1+$A109)^2)*(H80+B$108))-H81)*(1-H84))+H81+(H82*(H79*(1+$A109)^2)/H79)+(H83*(H79*(1+$A109)^2)/H79))/(1+$B$25)^2+(((((I79*(1+$A109)^3)*(I80+B$108))-I81)*(1-I84))+I81+(I82*(I79*(1+$A109)^3)/I79)+(I83*(I79*(1+$A109)^3)/I79))/(1+$B$25)^3+(((((J79*(1+$A109)^4)*(J80+B$108))-J81)*(1-J84))+J81+(J82*(J79*(1+$A109)^4)/J79)+(J83*(J79*(1+$A109)^4)/J79))/(1+$B$25)^4+(((((K79*(1+$A109)^5)*(K80+B$108))-K81)*(1-K84))+K81+(K82*(K79*(1+$A109)^5)/K79)+(K83*(K79*(1+$A109)^5)/K79))/(1+$B$25)^5+(((((L79*(1+$A109)^6)*(L80+B$108))-L81)*(1-L84))+L81+(L82*(L79*(1+$A109)^6)/L79)+(L83*(L79*(1+$A109)^6)/L79))/(1+$B$25)^6+(((((M79*(1+$A109)^7)*(M80+B$108))-M81)*(1-M84))+M81+(M82*(M79*(1+$A109)^7)/M79)+(M83*(M79*(1+$A109)^7)/M79))/(1+$B$25)^7+(((((((M79*(1+$A109)^7)*(M80+B$108))-M81)*(1-M84))+M81+(M82*(M79*(1+$A109)^7)/M79)+(M83*(M79*(1+$A109)^7)/M79))*(1+$B$46))/($B$25-$B$46))/(1+$B$25)^7)-$B$17-$B$19+$B$18)/$B$69</f>
        <v>77.4919675808159</v>
      </c>
      <c r="C109" s="113" t="n">
        <f aca="false">(((((((G79*(1+$A109)^1)*(G80+C$108))-G81)*(1-G84))+G81+(G82*(G79*(1+$A109)^1)/G79)+(G83*(G79*(1+$A109)^1)/G79))/(1+$B$25)^1+(((((H79*(1+$A109)^2)*(H80+C$108))-H81)*(1-H84))+H81+(H82*(H79*(1+$A109)^2)/H79)+(H83*(H79*(1+$A109)^2)/H79))/(1+$B$25)^2+(((((I79*(1+$A109)^3)*(I80+C$108))-I81)*(1-I84))+I81+(I82*(I79*(1+$A109)^3)/I79)+(I83*(I79*(1+$A109)^3)/I79))/(1+$B$25)^3+(((((J79*(1+$A109)^4)*(J80+C$108))-J81)*(1-J84))+J81+(J82*(J79*(1+$A109)^4)/J79)+(J83*(J79*(1+$A109)^4)/J79))/(1+$B$25)^4+(((((K79*(1+$A109)^5)*(K80+C$108))-K81)*(1-K84))+K81+(K82*(K79*(1+$A109)^5)/K79)+(K83*(K79*(1+$A109)^5)/K79))/(1+$B$25)^5+(((((L79*(1+$A109)^6)*(L80+C$108))-L81)*(1-L84))+L81+(L82*(L79*(1+$A109)^6)/L79)+(L83*(L79*(1+$A109)^6)/L79))/(1+$B$25)^6+(((((M79*(1+$A109)^7)*(M80+C$108))-M81)*(1-M84))+M81+(M82*(M79*(1+$A109)^7)/M79)+(M83*(M79*(1+$A109)^7)/M79))/(1+$B$25)^7+(((((((M79*(1+$A109)^7)*(M80+C$108))-M81)*(1-M84))+M81+(M82*(M79*(1+$A109)^7)/M79)+(M83*(M79*(1+$A109)^7)/M79))*(1+$B$46))/($B$25-$B$46))/(1+$B$25)^7)-$B$17-$B$19+$B$18)/$B$69</f>
        <v>94.5484206498764</v>
      </c>
      <c r="D109" s="113" t="n">
        <f aca="false">(((((((G79*(1+$A109)^1)*(G80+D$108))-G81)*(1-G84))+G81+(G82*(G79*(1+$A109)^1)/G79)+(G83*(G79*(1+$A109)^1)/G79))/(1+$B$25)^1+(((((H79*(1+$A109)^2)*(H80+D$108))-H81)*(1-H84))+H81+(H82*(H79*(1+$A109)^2)/H79)+(H83*(H79*(1+$A109)^2)/H79))/(1+$B$25)^2+(((((I79*(1+$A109)^3)*(I80+D$108))-I81)*(1-I84))+I81+(I82*(I79*(1+$A109)^3)/I79)+(I83*(I79*(1+$A109)^3)/I79))/(1+$B$25)^3+(((((J79*(1+$A109)^4)*(J80+D$108))-J81)*(1-J84))+J81+(J82*(J79*(1+$A109)^4)/J79)+(J83*(J79*(1+$A109)^4)/J79))/(1+$B$25)^4+(((((K79*(1+$A109)^5)*(K80+D$108))-K81)*(1-K84))+K81+(K82*(K79*(1+$A109)^5)/K79)+(K83*(K79*(1+$A109)^5)/K79))/(1+$B$25)^5+(((((L79*(1+$A109)^6)*(L80+D$108))-L81)*(1-L84))+L81+(L82*(L79*(1+$A109)^6)/L79)+(L83*(L79*(1+$A109)^6)/L79))/(1+$B$25)^6+(((((M79*(1+$A109)^7)*(M80+D$108))-M81)*(1-M84))+M81+(M82*(M79*(1+$A109)^7)/M79)+(M83*(M79*(1+$A109)^7)/M79))/(1+$B$25)^7+(((((((M79*(1+$A109)^7)*(M80+D$108))-M81)*(1-M84))+M81+(M82*(M79*(1+$A109)^7)/M79)+(M83*(M79*(1+$A109)^7)/M79))*(1+$B$46))/($B$25-$B$46))/(1+$B$25)^7)-$B$17-$B$19+$B$18)/$B$69</f>
        <v>111.604873718937</v>
      </c>
      <c r="E109" s="113" t="n">
        <f aca="false">(((((((G79*(1+$A109)^1)*(G80+E$108))-G81)*(1-G84))+G81+(G82*(G79*(1+$A109)^1)/G79)+(G83*(G79*(1+$A109)^1)/G79))/(1+$B$25)^1+(((((H79*(1+$A109)^2)*(H80+E$108))-H81)*(1-H84))+H81+(H82*(H79*(1+$A109)^2)/H79)+(H83*(H79*(1+$A109)^2)/H79))/(1+$B$25)^2+(((((I79*(1+$A109)^3)*(I80+E$108))-I81)*(1-I84))+I81+(I82*(I79*(1+$A109)^3)/I79)+(I83*(I79*(1+$A109)^3)/I79))/(1+$B$25)^3+(((((J79*(1+$A109)^4)*(J80+E$108))-J81)*(1-J84))+J81+(J82*(J79*(1+$A109)^4)/J79)+(J83*(J79*(1+$A109)^4)/J79))/(1+$B$25)^4+(((((K79*(1+$A109)^5)*(K80+E$108))-K81)*(1-K84))+K81+(K82*(K79*(1+$A109)^5)/K79)+(K83*(K79*(1+$A109)^5)/K79))/(1+$B$25)^5+(((((L79*(1+$A109)^6)*(L80+E$108))-L81)*(1-L84))+L81+(L82*(L79*(1+$A109)^6)/L79)+(L83*(L79*(1+$A109)^6)/L79))/(1+$B$25)^6+(((((M79*(1+$A109)^7)*(M80+E$108))-M81)*(1-M84))+M81+(M82*(M79*(1+$A109)^7)/M79)+(M83*(M79*(1+$A109)^7)/M79))/(1+$B$25)^7+(((((((M79*(1+$A109)^7)*(M80+E$108))-M81)*(1-M84))+M81+(M82*(M79*(1+$A109)^7)/M79)+(M83*(M79*(1+$A109)^7)/M79))*(1+$B$46))/($B$25-$B$46))/(1+$B$25)^7)-$B$17-$B$19+$B$18)/$B$69</f>
        <v>128.661326787997</v>
      </c>
      <c r="F109" s="113" t="n">
        <f aca="false">(((((((G79*(1+$A109)^1)*(G80+F$108))-G81)*(1-G84))+G81+(G82*(G79*(1+$A109)^1)/G79)+(G83*(G79*(1+$A109)^1)/G79))/(1+$B$25)^1+(((((H79*(1+$A109)^2)*(H80+F$108))-H81)*(1-H84))+H81+(H82*(H79*(1+$A109)^2)/H79)+(H83*(H79*(1+$A109)^2)/H79))/(1+$B$25)^2+(((((I79*(1+$A109)^3)*(I80+F$108))-I81)*(1-I84))+I81+(I82*(I79*(1+$A109)^3)/I79)+(I83*(I79*(1+$A109)^3)/I79))/(1+$B$25)^3+(((((J79*(1+$A109)^4)*(J80+F$108))-J81)*(1-J84))+J81+(J82*(J79*(1+$A109)^4)/J79)+(J83*(J79*(1+$A109)^4)/J79))/(1+$B$25)^4+(((((K79*(1+$A109)^5)*(K80+F$108))-K81)*(1-K84))+K81+(K82*(K79*(1+$A109)^5)/K79)+(K83*(K79*(1+$A109)^5)/K79))/(1+$B$25)^5+(((((L79*(1+$A109)^6)*(L80+F$108))-L81)*(1-L84))+L81+(L82*(L79*(1+$A109)^6)/L79)+(L83*(L79*(1+$A109)^6)/L79))/(1+$B$25)^6+(((((M79*(1+$A109)^7)*(M80+F$108))-M81)*(1-M84))+M81+(M82*(M79*(1+$A109)^7)/M79)+(M83*(M79*(1+$A109)^7)/M79))/(1+$B$25)^7+(((((((M79*(1+$A109)^7)*(M80+F$108))-M81)*(1-M84))+M81+(M82*(M79*(1+$A109)^7)/M79)+(M83*(M79*(1+$A109)^7)/M79))*(1+$B$46))/($B$25-$B$46))/(1+$B$25)^7)-$B$17-$B$19+$B$18)/$B$69</f>
        <v>145.717779857058</v>
      </c>
    </row>
    <row r="110" customFormat="false" ht="15" hidden="false" customHeight="false" outlineLevel="0" collapsed="false">
      <c r="A110" s="116" t="n">
        <v>-0.01</v>
      </c>
      <c r="B110" s="113" t="n">
        <f aca="false">(((((((G79*(1+$A110)^1)*(G80+B$108))-G81)*(1-G84))+G81+(G82*(G79*(1+$A110)^1)/G79)+(G83*(G79*(1+$A110)^1)/G79))/(1+$B$25)^1+(((((H79*(1+$A110)^2)*(H80+B$108))-H81)*(1-H84))+H81+(H82*(H79*(1+$A110)^2)/H79)+(H83*(H79*(1+$A110)^2)/H79))/(1+$B$25)^2+(((((I79*(1+$A110)^3)*(I80+B$108))-I81)*(1-I84))+I81+(I82*(I79*(1+$A110)^3)/I79)+(I83*(I79*(1+$A110)^3)/I79))/(1+$B$25)^3+(((((J79*(1+$A110)^4)*(J80+B$108))-J81)*(1-J84))+J81+(J82*(J79*(1+$A110)^4)/J79)+(J83*(J79*(1+$A110)^4)/J79))/(1+$B$25)^4+(((((K79*(1+$A110)^5)*(K80+B$108))-K81)*(1-K84))+K81+(K82*(K79*(1+$A110)^5)/K79)+(K83*(K79*(1+$A110)^5)/K79))/(1+$B$25)^5+(((((L79*(1+$A110)^6)*(L80+B$108))-L81)*(1-L84))+L81+(L82*(L79*(1+$A110)^6)/L79)+(L83*(L79*(1+$A110)^6)/L79))/(1+$B$25)^6+(((((M79*(1+$A110)^7)*(M80+B$108))-M81)*(1-M84))+M81+(M82*(M79*(1+$A110)^7)/M79)+(M83*(M79*(1+$A110)^7)/M79))/(1+$B$25)^7+(((((((M79*(1+$A110)^7)*(M80+B$108))-M81)*(1-M84))+M81+(M82*(M79*(1+$A110)^7)/M79)+(M83*(M79*(1+$A110)^7)/M79))*(1+$B$46))/($B$25-$B$46))/(1+$B$25)^7)-$B$17-$B$19+$B$18)/$B$69</f>
        <v>81.5714956017306</v>
      </c>
      <c r="C110" s="113" t="n">
        <f aca="false">(((((((G79*(1+$A110)^1)*(G80+C$108))-G81)*(1-G84))+G81+(G82*(G79*(1+$A110)^1)/G79)+(G83*(G79*(1+$A110)^1)/G79))/(1+$B$25)^1+(((((H79*(1+$A110)^2)*(H80+C$108))-H81)*(1-H84))+H81+(H82*(H79*(1+$A110)^2)/H79)+(H83*(H79*(1+$A110)^2)/H79))/(1+$B$25)^2+(((((I79*(1+$A110)^3)*(I80+C$108))-I81)*(1-I84))+I81+(I82*(I79*(1+$A110)^3)/I79)+(I83*(I79*(1+$A110)^3)/I79))/(1+$B$25)^3+(((((J79*(1+$A110)^4)*(J80+C$108))-J81)*(1-J84))+J81+(J82*(J79*(1+$A110)^4)/J79)+(J83*(J79*(1+$A110)^4)/J79))/(1+$B$25)^4+(((((K79*(1+$A110)^5)*(K80+C$108))-K81)*(1-K84))+K81+(K82*(K79*(1+$A110)^5)/K79)+(K83*(K79*(1+$A110)^5)/K79))/(1+$B$25)^5+(((((L79*(1+$A110)^6)*(L80+C$108))-L81)*(1-L84))+L81+(L82*(L79*(1+$A110)^6)/L79)+(L83*(L79*(1+$A110)^6)/L79))/(1+$B$25)^6+(((((M79*(1+$A110)^7)*(M80+C$108))-M81)*(1-M84))+M81+(M82*(M79*(1+$A110)^7)/M79)+(M83*(M79*(1+$A110)^7)/M79))/(1+$B$25)^7+(((((((M79*(1+$A110)^7)*(M80+C$108))-M81)*(1-M84))+M81+(M82*(M79*(1+$A110)^7)/M79)+(M83*(M79*(1+$A110)^7)/M79))*(1+$B$46))/($B$25-$B$46))/(1+$B$25)^7)-$B$17-$B$19+$B$18)/$B$69</f>
        <v>99.7108435343587</v>
      </c>
      <c r="D110" s="113" t="n">
        <f aca="false">(((((((G79*(1+$A110)^1)*(G80+D$108))-G81)*(1-G84))+G81+(G82*(G79*(1+$A110)^1)/G79)+(G83*(G79*(1+$A110)^1)/G79))/(1+$B$25)^1+(((((H79*(1+$A110)^2)*(H80+D$108))-H81)*(1-H84))+H81+(H82*(H79*(1+$A110)^2)/H79)+(H83*(H79*(1+$A110)^2)/H79))/(1+$B$25)^2+(((((I79*(1+$A110)^3)*(I80+D$108))-I81)*(1-I84))+I81+(I82*(I79*(1+$A110)^3)/I79)+(I83*(I79*(1+$A110)^3)/I79))/(1+$B$25)^3+(((((J79*(1+$A110)^4)*(J80+D$108))-J81)*(1-J84))+J81+(J82*(J79*(1+$A110)^4)/J79)+(J83*(J79*(1+$A110)^4)/J79))/(1+$B$25)^4+(((((K79*(1+$A110)^5)*(K80+D$108))-K81)*(1-K84))+K81+(K82*(K79*(1+$A110)^5)/K79)+(K83*(K79*(1+$A110)^5)/K79))/(1+$B$25)^5+(((((L79*(1+$A110)^6)*(L80+D$108))-L81)*(1-L84))+L81+(L82*(L79*(1+$A110)^6)/L79)+(L83*(L79*(1+$A110)^6)/L79))/(1+$B$25)^6+(((((M79*(1+$A110)^7)*(M80+D$108))-M81)*(1-M84))+M81+(M82*(M79*(1+$A110)^7)/M79)+(M83*(M79*(1+$A110)^7)/M79))/(1+$B$25)^7+(((((((M79*(1+$A110)^7)*(M80+D$108))-M81)*(1-M84))+M81+(M82*(M79*(1+$A110)^7)/M79)+(M83*(M79*(1+$A110)^7)/M79))*(1+$B$46))/($B$25-$B$46))/(1+$B$25)^7)-$B$17-$B$19+$B$18)/$B$69</f>
        <v>117.850191466987</v>
      </c>
      <c r="E110" s="113" t="n">
        <f aca="false">(((((((G79*(1+$A110)^1)*(G80+E$108))-G81)*(1-G84))+G81+(G82*(G79*(1+$A110)^1)/G79)+(G83*(G79*(1+$A110)^1)/G79))/(1+$B$25)^1+(((((H79*(1+$A110)^2)*(H80+E$108))-H81)*(1-H84))+H81+(H82*(H79*(1+$A110)^2)/H79)+(H83*(H79*(1+$A110)^2)/H79))/(1+$B$25)^2+(((((I79*(1+$A110)^3)*(I80+E$108))-I81)*(1-I84))+I81+(I82*(I79*(1+$A110)^3)/I79)+(I83*(I79*(1+$A110)^3)/I79))/(1+$B$25)^3+(((((J79*(1+$A110)^4)*(J80+E$108))-J81)*(1-J84))+J81+(J82*(J79*(1+$A110)^4)/J79)+(J83*(J79*(1+$A110)^4)/J79))/(1+$B$25)^4+(((((K79*(1+$A110)^5)*(K80+E$108))-K81)*(1-K84))+K81+(K82*(K79*(1+$A110)^5)/K79)+(K83*(K79*(1+$A110)^5)/K79))/(1+$B$25)^5+(((((L79*(1+$A110)^6)*(L80+E$108))-L81)*(1-L84))+L81+(L82*(L79*(1+$A110)^6)/L79)+(L83*(L79*(1+$A110)^6)/L79))/(1+$B$25)^6+(((((M79*(1+$A110)^7)*(M80+E$108))-M81)*(1-M84))+M81+(M82*(M79*(1+$A110)^7)/M79)+(M83*(M79*(1+$A110)^7)/M79))/(1+$B$25)^7+(((((((M79*(1+$A110)^7)*(M80+E$108))-M81)*(1-M84))+M81+(M82*(M79*(1+$A110)^7)/M79)+(M83*(M79*(1+$A110)^7)/M79))*(1+$B$46))/($B$25-$B$46))/(1+$B$25)^7)-$B$17-$B$19+$B$18)/$B$69</f>
        <v>135.989539399615</v>
      </c>
      <c r="F110" s="113" t="n">
        <f aca="false">(((((((G79*(1+$A110)^1)*(G80+F$108))-G81)*(1-G84))+G81+(G82*(G79*(1+$A110)^1)/G79)+(G83*(G79*(1+$A110)^1)/G79))/(1+$B$25)^1+(((((H79*(1+$A110)^2)*(H80+F$108))-H81)*(1-H84))+H81+(H82*(H79*(1+$A110)^2)/H79)+(H83*(H79*(1+$A110)^2)/H79))/(1+$B$25)^2+(((((I79*(1+$A110)^3)*(I80+F$108))-I81)*(1-I84))+I81+(I82*(I79*(1+$A110)^3)/I79)+(I83*(I79*(1+$A110)^3)/I79))/(1+$B$25)^3+(((((J79*(1+$A110)^4)*(J80+F$108))-J81)*(1-J84))+J81+(J82*(J79*(1+$A110)^4)/J79)+(J83*(J79*(1+$A110)^4)/J79))/(1+$B$25)^4+(((((K79*(1+$A110)^5)*(K80+F$108))-K81)*(1-K84))+K81+(K82*(K79*(1+$A110)^5)/K79)+(K83*(K79*(1+$A110)^5)/K79))/(1+$B$25)^5+(((((L79*(1+$A110)^6)*(L80+F$108))-L81)*(1-L84))+L81+(L82*(L79*(1+$A110)^6)/L79)+(L83*(L79*(1+$A110)^6)/L79))/(1+$B$25)^6+(((((M79*(1+$A110)^7)*(M80+F$108))-M81)*(1-M84))+M81+(M82*(M79*(1+$A110)^7)/M79)+(M83*(M79*(1+$A110)^7)/M79))/(1+$B$25)^7+(((((((M79*(1+$A110)^7)*(M80+F$108))-M81)*(1-M84))+M81+(M82*(M79*(1+$A110)^7)/M79)+(M83*(M79*(1+$A110)^7)/M79))*(1+$B$46))/($B$25-$B$46))/(1+$B$25)^7)-$B$17-$B$19+$B$18)/$B$69</f>
        <v>154.128887332243</v>
      </c>
    </row>
    <row r="111" customFormat="false" ht="15" hidden="false" customHeight="false" outlineLevel="0" collapsed="false">
      <c r="A111" s="116" t="n">
        <v>0</v>
      </c>
      <c r="B111" s="113" t="n">
        <f aca="false">(((((((G79*(1+$A111)^1)*(G80+B$108))-G81)*(1-G84))+G81+(G82*(G79*(1+$A111)^1)/G79)+(G83*(G79*(1+$A111)^1)/G79))/(1+$B$25)^1+(((((H79*(1+$A111)^2)*(H80+B$108))-H81)*(1-H84))+H81+(H82*(H79*(1+$A111)^2)/H79)+(H83*(H79*(1+$A111)^2)/H79))/(1+$B$25)^2+(((((I79*(1+$A111)^3)*(I80+B$108))-I81)*(1-I84))+I81+(I82*(I79*(1+$A111)^3)/I79)+(I83*(I79*(1+$A111)^3)/I79))/(1+$B$25)^3+(((((J79*(1+$A111)^4)*(J80+B$108))-J81)*(1-J84))+J81+(J82*(J79*(1+$A111)^4)/J79)+(J83*(J79*(1+$A111)^4)/J79))/(1+$B$25)^4+(((((K79*(1+$A111)^5)*(K80+B$108))-K81)*(1-K84))+K81+(K82*(K79*(1+$A111)^5)/K79)+(K83*(K79*(1+$A111)^5)/K79))/(1+$B$25)^5+(((((L79*(1+$A111)^6)*(L80+B$108))-L81)*(1-L84))+L81+(L82*(L79*(1+$A111)^6)/L79)+(L83*(L79*(1+$A111)^6)/L79))/(1+$B$25)^6+(((((M79*(1+$A111)^7)*(M80+B$108))-M81)*(1-M84))+M81+(M82*(M79*(1+$A111)^7)/M79)+(M83*(M79*(1+$A111)^7)/M79))/(1+$B$25)^7+(((((((M79*(1+$A111)^7)*(M80+B$108))-M81)*(1-M84))+M81+(M82*(M79*(1+$A111)^7)/M79)+(M83*(M79*(1+$A111)^7)/M79))*(1+$B$46))/($B$25-$B$46))/(1+$B$25)^7)-$B$17-$B$19+$B$18)/$B$69</f>
        <v>85.8866520391306</v>
      </c>
      <c r="C111" s="113" t="n">
        <f aca="false">(((((((G79*(1+$A111)^1)*(G80+C$108))-G81)*(1-G84))+G81+(G82*(G79*(1+$A111)^1)/G79)+(G83*(G79*(1+$A111)^1)/G79))/(1+$B$25)^1+(((((H79*(1+$A111)^2)*(H80+C$108))-H81)*(1-H84))+H81+(H82*(H79*(1+$A111)^2)/H79)+(H83*(H79*(1+$A111)^2)/H79))/(1+$B$25)^2+(((((I79*(1+$A111)^3)*(I80+C$108))-I81)*(1-I84))+I81+(I82*(I79*(1+$A111)^3)/I79)+(I83*(I79*(1+$A111)^3)/I79))/(1+$B$25)^3+(((((J79*(1+$A111)^4)*(J80+C$108))-J81)*(1-J84))+J81+(J82*(J79*(1+$A111)^4)/J79)+(J83*(J79*(1+$A111)^4)/J79))/(1+$B$25)^4+(((((K79*(1+$A111)^5)*(K80+C$108))-K81)*(1-K84))+K81+(K82*(K79*(1+$A111)^5)/K79)+(K83*(K79*(1+$A111)^5)/K79))/(1+$B$25)^5+(((((L79*(1+$A111)^6)*(L80+C$108))-L81)*(1-L84))+L81+(L82*(L79*(1+$A111)^6)/L79)+(L83*(L79*(1+$A111)^6)/L79))/(1+$B$25)^6+(((((M79*(1+$A111)^7)*(M80+C$108))-M81)*(1-M84))+M81+(M82*(M79*(1+$A111)^7)/M79)+(M83*(M79*(1+$A111)^7)/M79))/(1+$B$25)^7+(((((((M79*(1+$A111)^7)*(M80+C$108))-M81)*(1-M84))+M81+(M82*(M79*(1+$A111)^7)/M79)+(M83*(M79*(1+$A111)^7)/M79))*(1+$B$46))/($B$25-$B$46))/(1+$B$25)^7)-$B$17-$B$19+$B$18)/$B$69</f>
        <v>105.172072180722</v>
      </c>
      <c r="D111" s="100" t="n">
        <f aca="false">(((((((G79*(1+$A111)^1)*(G80+D$108))-G81)*(1-G84))+G81+(G82*(G79*(1+$A111)^1)/G79)+(G83*(G79*(1+$A111)^1)/G79))/(1+$B$25)^1+(((((H79*(1+$A111)^2)*(H80+D$108))-H81)*(1-H84))+H81+(H82*(H79*(1+$A111)^2)/H79)+(H83*(H79*(1+$A111)^2)/H79))/(1+$B$25)^2+(((((I79*(1+$A111)^3)*(I80+D$108))-I81)*(1-I84))+I81+(I82*(I79*(1+$A111)^3)/I79)+(I83*(I79*(1+$A111)^3)/I79))/(1+$B$25)^3+(((((J79*(1+$A111)^4)*(J80+D$108))-J81)*(1-J84))+J81+(J82*(J79*(1+$A111)^4)/J79)+(J83*(J79*(1+$A111)^4)/J79))/(1+$B$25)^4+(((((K79*(1+$A111)^5)*(K80+D$108))-K81)*(1-K84))+K81+(K82*(K79*(1+$A111)^5)/K79)+(K83*(K79*(1+$A111)^5)/K79))/(1+$B$25)^5+(((((L79*(1+$A111)^6)*(L80+D$108))-L81)*(1-L84))+L81+(L82*(L79*(1+$A111)^6)/L79)+(L83*(L79*(1+$A111)^6)/L79))/(1+$B$25)^6+(((((M79*(1+$A111)^7)*(M80+D$108))-M81)*(1-M84))+M81+(M82*(M79*(1+$A111)^7)/M79)+(M83*(M79*(1+$A111)^7)/M79))/(1+$B$25)^7+(((((((M79*(1+$A111)^7)*(M80+D$108))-M81)*(1-M84))+M81+(M82*(M79*(1+$A111)^7)/M79)+(M83*(M79*(1+$A111)^7)/M79))*(1+$B$46))/($B$25-$B$46))/(1+$B$25)^7)-$B$17-$B$19+$B$18)/$B$69</f>
        <v>124.457492322313</v>
      </c>
      <c r="E111" s="113" t="n">
        <f aca="false">(((((((G79*(1+$A111)^1)*(G80+E$108))-G81)*(1-G84))+G81+(G82*(G79*(1+$A111)^1)/G79)+(G83*(G79*(1+$A111)^1)/G79))/(1+$B$25)^1+(((((H79*(1+$A111)^2)*(H80+E$108))-H81)*(1-H84))+H81+(H82*(H79*(1+$A111)^2)/H79)+(H83*(H79*(1+$A111)^2)/H79))/(1+$B$25)^2+(((((I79*(1+$A111)^3)*(I80+E$108))-I81)*(1-I84))+I81+(I82*(I79*(1+$A111)^3)/I79)+(I83*(I79*(1+$A111)^3)/I79))/(1+$B$25)^3+(((((J79*(1+$A111)^4)*(J80+E$108))-J81)*(1-J84))+J81+(J82*(J79*(1+$A111)^4)/J79)+(J83*(J79*(1+$A111)^4)/J79))/(1+$B$25)^4+(((((K79*(1+$A111)^5)*(K80+E$108))-K81)*(1-K84))+K81+(K82*(K79*(1+$A111)^5)/K79)+(K83*(K79*(1+$A111)^5)/K79))/(1+$B$25)^5+(((((L79*(1+$A111)^6)*(L80+E$108))-L81)*(1-L84))+L81+(L82*(L79*(1+$A111)^6)/L79)+(L83*(L79*(1+$A111)^6)/L79))/(1+$B$25)^6+(((((M79*(1+$A111)^7)*(M80+E$108))-M81)*(1-M84))+M81+(M82*(M79*(1+$A111)^7)/M79)+(M83*(M79*(1+$A111)^7)/M79))/(1+$B$25)^7+(((((((M79*(1+$A111)^7)*(M80+E$108))-M81)*(1-M84))+M81+(M82*(M79*(1+$A111)^7)/M79)+(M83*(M79*(1+$A111)^7)/M79))*(1+$B$46))/($B$25-$B$46))/(1+$B$25)^7)-$B$17-$B$19+$B$18)/$B$69</f>
        <v>143.742912463904</v>
      </c>
      <c r="F111" s="113" t="n">
        <f aca="false">(((((((G79*(1+$A111)^1)*(G80+F$108))-G81)*(1-G84))+G81+(G82*(G79*(1+$A111)^1)/G79)+(G83*(G79*(1+$A111)^1)/G79))/(1+$B$25)^1+(((((H79*(1+$A111)^2)*(H80+F$108))-H81)*(1-H84))+H81+(H82*(H79*(1+$A111)^2)/H79)+(H83*(H79*(1+$A111)^2)/H79))/(1+$B$25)^2+(((((I79*(1+$A111)^3)*(I80+F$108))-I81)*(1-I84))+I81+(I82*(I79*(1+$A111)^3)/I79)+(I83*(I79*(1+$A111)^3)/I79))/(1+$B$25)^3+(((((J79*(1+$A111)^4)*(J80+F$108))-J81)*(1-J84))+J81+(J82*(J79*(1+$A111)^4)/J79)+(J83*(J79*(1+$A111)^4)/J79))/(1+$B$25)^4+(((((K79*(1+$A111)^5)*(K80+F$108))-K81)*(1-K84))+K81+(K82*(K79*(1+$A111)^5)/K79)+(K83*(K79*(1+$A111)^5)/K79))/(1+$B$25)^5+(((((L79*(1+$A111)^6)*(L80+F$108))-L81)*(1-L84))+L81+(L82*(L79*(1+$A111)^6)/L79)+(L83*(L79*(1+$A111)^6)/L79))/(1+$B$25)^6+(((((M79*(1+$A111)^7)*(M80+F$108))-M81)*(1-M84))+M81+(M82*(M79*(1+$A111)^7)/M79)+(M83*(M79*(1+$A111)^7)/M79))/(1+$B$25)^7+(((((((M79*(1+$A111)^7)*(M80+F$108))-M81)*(1-M84))+M81+(M82*(M79*(1+$A111)^7)/M79)+(M83*(M79*(1+$A111)^7)/M79))*(1+$B$46))/($B$25-$B$46))/(1+$B$25)^7)-$B$17-$B$19+$B$18)/$B$69</f>
        <v>163.028332605496</v>
      </c>
    </row>
    <row r="112" customFormat="false" ht="15" hidden="false" customHeight="false" outlineLevel="0" collapsed="false">
      <c r="A112" s="116" t="n">
        <v>0.01</v>
      </c>
      <c r="B112" s="113" t="n">
        <f aca="false">(((((((G79*(1+$A112)^1)*(G80+B$108))-G81)*(1-G84))+G81+(G82*(G79*(1+$A112)^1)/G79)+(G83*(G79*(1+$A112)^1)/G79))/(1+$B$25)^1+(((((H79*(1+$A112)^2)*(H80+B$108))-H81)*(1-H84))+H81+(H82*(H79*(1+$A112)^2)/H79)+(H83*(H79*(1+$A112)^2)/H79))/(1+$B$25)^2+(((((I79*(1+$A112)^3)*(I80+B$108))-I81)*(1-I84))+I81+(I82*(I79*(1+$A112)^3)/I79)+(I83*(I79*(1+$A112)^3)/I79))/(1+$B$25)^3+(((((J79*(1+$A112)^4)*(J80+B$108))-J81)*(1-J84))+J81+(J82*(J79*(1+$A112)^4)/J79)+(J83*(J79*(1+$A112)^4)/J79))/(1+$B$25)^4+(((((K79*(1+$A112)^5)*(K80+B$108))-K81)*(1-K84))+K81+(K82*(K79*(1+$A112)^5)/K79)+(K83*(K79*(1+$A112)^5)/K79))/(1+$B$25)^5+(((((L79*(1+$A112)^6)*(L80+B$108))-L81)*(1-L84))+L81+(L82*(L79*(1+$A112)^6)/L79)+(L83*(L79*(1+$A112)^6)/L79))/(1+$B$25)^6+(((((M79*(1+$A112)^7)*(M80+B$108))-M81)*(1-M84))+M81+(M82*(M79*(1+$A112)^7)/M79)+(M83*(M79*(1+$A112)^7)/M79))/(1+$B$25)^7+(((((((M79*(1+$A112)^7)*(M80+B$108))-M81)*(1-M84))+M81+(M82*(M79*(1+$A112)^7)/M79)+(M83*(M79*(1+$A112)^7)/M79))*(1+$B$46))/($B$25-$B$46))/(1+$B$25)^7)-$B$17-$B$19+$B$18)/$B$69</f>
        <v>90.4491256301171</v>
      </c>
      <c r="C112" s="113" t="n">
        <f aca="false">(((((((G79*(1+$A112)^1)*(G80+C$108))-G81)*(1-G84))+G81+(G82*(G79*(1+$A112)^1)/G79)+(G83*(G79*(1+$A112)^1)/G79))/(1+$B$25)^1+(((((H79*(1+$A112)^2)*(H80+C$108))-H81)*(1-H84))+H81+(H82*(H79*(1+$A112)^2)/H79)+(H83*(H79*(1+$A112)^2)/H79))/(1+$B$25)^2+(((((I79*(1+$A112)^3)*(I80+C$108))-I81)*(1-I84))+I81+(I82*(I79*(1+$A112)^3)/I79)+(I83*(I79*(1+$A112)^3)/I79))/(1+$B$25)^3+(((((J79*(1+$A112)^4)*(J80+C$108))-J81)*(1-J84))+J81+(J82*(J79*(1+$A112)^4)/J79)+(J83*(J79*(1+$A112)^4)/J79))/(1+$B$25)^4+(((((K79*(1+$A112)^5)*(K80+C$108))-K81)*(1-K84))+K81+(K82*(K79*(1+$A112)^5)/K79)+(K83*(K79*(1+$A112)^5)/K79))/(1+$B$25)^5+(((((L79*(1+$A112)^6)*(L80+C$108))-L81)*(1-L84))+L81+(L82*(L79*(1+$A112)^6)/L79)+(L83*(L79*(1+$A112)^6)/L79))/(1+$B$25)^6+(((((M79*(1+$A112)^7)*(M80+C$108))-M81)*(1-M84))+M81+(M82*(M79*(1+$A112)^7)/M79)+(M83*(M79*(1+$A112)^7)/M79))/(1+$B$25)^7+(((((((M79*(1+$A112)^7)*(M80+C$108))-M81)*(1-M84))+M81+(M82*(M79*(1+$A112)^7)/M79)+(M83*(M79*(1+$A112)^7)/M79))*(1+$B$46))/($B$25-$B$46))/(1+$B$25)^7)-$B$17-$B$19+$B$18)/$B$69</f>
        <v>110.946943220667</v>
      </c>
      <c r="D112" s="113" t="n">
        <f aca="false">(((((((G79*(1+$A112)^1)*(G80+D$108))-G81)*(1-G84))+G81+(G82*(G79*(1+$A112)^1)/G79)+(G83*(G79*(1+$A112)^1)/G79))/(1+$B$25)^1+(((((H79*(1+$A112)^2)*(H80+D$108))-H81)*(1-H84))+H81+(H82*(H79*(1+$A112)^2)/H79)+(H83*(H79*(1+$A112)^2)/H79))/(1+$B$25)^2+(((((I79*(1+$A112)^3)*(I80+D$108))-I81)*(1-I84))+I81+(I82*(I79*(1+$A112)^3)/I79)+(I83*(I79*(1+$A112)^3)/I79))/(1+$B$25)^3+(((((J79*(1+$A112)^4)*(J80+D$108))-J81)*(1-J84))+J81+(J82*(J79*(1+$A112)^4)/J79)+(J83*(J79*(1+$A112)^4)/J79))/(1+$B$25)^4+(((((K79*(1+$A112)^5)*(K80+D$108))-K81)*(1-K84))+K81+(K82*(K79*(1+$A112)^5)/K79)+(K83*(K79*(1+$A112)^5)/K79))/(1+$B$25)^5+(((((L79*(1+$A112)^6)*(L80+D$108))-L81)*(1-L84))+L81+(L82*(L79*(1+$A112)^6)/L79)+(L83*(L79*(1+$A112)^6)/L79))/(1+$B$25)^6+(((((M79*(1+$A112)^7)*(M80+D$108))-M81)*(1-M84))+M81+(M82*(M79*(1+$A112)^7)/M79)+(M83*(M79*(1+$A112)^7)/M79))/(1+$B$25)^7+(((((((M79*(1+$A112)^7)*(M80+D$108))-M81)*(1-M84))+M81+(M82*(M79*(1+$A112)^7)/M79)+(M83*(M79*(1+$A112)^7)/M79))*(1+$B$46))/($B$25-$B$46))/(1+$B$25)^7)-$B$17-$B$19+$B$18)/$B$69</f>
        <v>131.444760811217</v>
      </c>
      <c r="E112" s="113" t="n">
        <f aca="false">(((((((G79*(1+$A112)^1)*(G80+E$108))-G81)*(1-G84))+G81+(G82*(G79*(1+$A112)^1)/G79)+(G83*(G79*(1+$A112)^1)/G79))/(1+$B$25)^1+(((((H79*(1+$A112)^2)*(H80+E$108))-H81)*(1-H84))+H81+(H82*(H79*(1+$A112)^2)/H79)+(H83*(H79*(1+$A112)^2)/H79))/(1+$B$25)^2+(((((I79*(1+$A112)^3)*(I80+E$108))-I81)*(1-I84))+I81+(I82*(I79*(1+$A112)^3)/I79)+(I83*(I79*(1+$A112)^3)/I79))/(1+$B$25)^3+(((((J79*(1+$A112)^4)*(J80+E$108))-J81)*(1-J84))+J81+(J82*(J79*(1+$A112)^4)/J79)+(J83*(J79*(1+$A112)^4)/J79))/(1+$B$25)^4+(((((K79*(1+$A112)^5)*(K80+E$108))-K81)*(1-K84))+K81+(K82*(K79*(1+$A112)^5)/K79)+(K83*(K79*(1+$A112)^5)/K79))/(1+$B$25)^5+(((((L79*(1+$A112)^6)*(L80+E$108))-L81)*(1-L84))+L81+(L82*(L79*(1+$A112)^6)/L79)+(L83*(L79*(1+$A112)^6)/L79))/(1+$B$25)^6+(((((M79*(1+$A112)^7)*(M80+E$108))-M81)*(1-M84))+M81+(M82*(M79*(1+$A112)^7)/M79)+(M83*(M79*(1+$A112)^7)/M79))/(1+$B$25)^7+(((((((M79*(1+$A112)^7)*(M80+E$108))-M81)*(1-M84))+M81+(M82*(M79*(1+$A112)^7)/M79)+(M83*(M79*(1+$A112)^7)/M79))*(1+$B$46))/($B$25-$B$46))/(1+$B$25)^7)-$B$17-$B$19+$B$18)/$B$69</f>
        <v>151.942578401767</v>
      </c>
      <c r="F112" s="113" t="n">
        <f aca="false">(((((((G79*(1+$A112)^1)*(G80+F$108))-G81)*(1-G84))+G81+(G82*(G79*(1+$A112)^1)/G79)+(G83*(G79*(1+$A112)^1)/G79))/(1+$B$25)^1+(((((H79*(1+$A112)^2)*(H80+F$108))-H81)*(1-H84))+H81+(H82*(H79*(1+$A112)^2)/H79)+(H83*(H79*(1+$A112)^2)/H79))/(1+$B$25)^2+(((((I79*(1+$A112)^3)*(I80+F$108))-I81)*(1-I84))+I81+(I82*(I79*(1+$A112)^3)/I79)+(I83*(I79*(1+$A112)^3)/I79))/(1+$B$25)^3+(((((J79*(1+$A112)^4)*(J80+F$108))-J81)*(1-J84))+J81+(J82*(J79*(1+$A112)^4)/J79)+(J83*(J79*(1+$A112)^4)/J79))/(1+$B$25)^4+(((((K79*(1+$A112)^5)*(K80+F$108))-K81)*(1-K84))+K81+(K82*(K79*(1+$A112)^5)/K79)+(K83*(K79*(1+$A112)^5)/K79))/(1+$B$25)^5+(((((L79*(1+$A112)^6)*(L80+F$108))-L81)*(1-L84))+L81+(L82*(L79*(1+$A112)^6)/L79)+(L83*(L79*(1+$A112)^6)/L79))/(1+$B$25)^6+(((((M79*(1+$A112)^7)*(M80+F$108))-M81)*(1-M84))+M81+(M82*(M79*(1+$A112)^7)/M79)+(M83*(M79*(1+$A112)^7)/M79))/(1+$B$25)^7+(((((((M79*(1+$A112)^7)*(M80+F$108))-M81)*(1-M84))+M81+(M82*(M79*(1+$A112)^7)/M79)+(M83*(M79*(1+$A112)^7)/M79))*(1+$B$46))/($B$25-$B$46))/(1+$B$25)^7)-$B$17-$B$19+$B$18)/$B$69</f>
        <v>172.440395992317</v>
      </c>
    </row>
    <row r="113" customFormat="false" ht="15" hidden="false" customHeight="false" outlineLevel="0" collapsed="false">
      <c r="A113" s="116" t="n">
        <v>0.02</v>
      </c>
      <c r="B113" s="113" t="n">
        <f aca="false">(((((((G79*(1+$A113)^1)*(G80+B$108))-G81)*(1-G84))+G81+(G82*(G79*(1+$A113)^1)/G79)+(G83*(G79*(1+$A113)^1)/G79))/(1+$B$25)^1+(((((H79*(1+$A113)^2)*(H80+B$108))-H81)*(1-H84))+H81+(H82*(H79*(1+$A113)^2)/H79)+(H83*(H79*(1+$A113)^2)/H79))/(1+$B$25)^2+(((((I79*(1+$A113)^3)*(I80+B$108))-I81)*(1-I84))+I81+(I82*(I79*(1+$A113)^3)/I79)+(I83*(I79*(1+$A113)^3)/I79))/(1+$B$25)^3+(((((J79*(1+$A113)^4)*(J80+B$108))-J81)*(1-J84))+J81+(J82*(J79*(1+$A113)^4)/J79)+(J83*(J79*(1+$A113)^4)/J79))/(1+$B$25)^4+(((((K79*(1+$A113)^5)*(K80+B$108))-K81)*(1-K84))+K81+(K82*(K79*(1+$A113)^5)/K79)+(K83*(K79*(1+$A113)^5)/K79))/(1+$B$25)^5+(((((L79*(1+$A113)^6)*(L80+B$108))-L81)*(1-L84))+L81+(L82*(L79*(1+$A113)^6)/L79)+(L83*(L79*(1+$A113)^6)/L79))/(1+$B$25)^6+(((((M79*(1+$A113)^7)*(M80+B$108))-M81)*(1-M84))+M81+(M82*(M79*(1+$A113)^7)/M79)+(M83*(M79*(1+$A113)^7)/M79))/(1+$B$25)^7+(((((((M79*(1+$A113)^7)*(M80+B$108))-M81)*(1-M84))+M81+(M82*(M79*(1+$A113)^7)/M79)+(M83*(M79*(1+$A113)^7)/M79))*(1+$B$46))/($B$25-$B$46))/(1+$B$25)^7)-$B$17-$B$19+$B$18)/$B$69</f>
        <v>95.2710718416453</v>
      </c>
      <c r="C113" s="113" t="n">
        <f aca="false">(((((((G79*(1+$A113)^1)*(G80+C$108))-G81)*(1-G84))+G81+(G82*(G79*(1+$A113)^1)/G79)+(G83*(G79*(1+$A113)^1)/G79))/(1+$B$25)^1+(((((H79*(1+$A113)^2)*(H80+C$108))-H81)*(1-H84))+H81+(H82*(H79*(1+$A113)^2)/H79)+(H83*(H79*(1+$A113)^2)/H79))/(1+$B$25)^2+(((((I79*(1+$A113)^3)*(I80+C$108))-I81)*(1-I84))+I81+(I82*(I79*(1+$A113)^3)/I79)+(I83*(I79*(1+$A113)^3)/I79))/(1+$B$25)^3+(((((J79*(1+$A113)^4)*(J80+C$108))-J81)*(1-J84))+J81+(J82*(J79*(1+$A113)^4)/J79)+(J83*(J79*(1+$A113)^4)/J79))/(1+$B$25)^4+(((((K79*(1+$A113)^5)*(K80+C$108))-K81)*(1-K84))+K81+(K82*(K79*(1+$A113)^5)/K79)+(K83*(K79*(1+$A113)^5)/K79))/(1+$B$25)^5+(((((L79*(1+$A113)^6)*(L80+C$108))-L81)*(1-L84))+L81+(L82*(L79*(1+$A113)^6)/L79)+(L83*(L79*(1+$A113)^6)/L79))/(1+$B$25)^6+(((((M79*(1+$A113)^7)*(M80+C$108))-M81)*(1-M84))+M81+(M82*(M79*(1+$A113)^7)/M79)+(M83*(M79*(1+$A113)^7)/M79))/(1+$B$25)^7+(((((((M79*(1+$A113)^7)*(M80+C$108))-M81)*(1-M84))+M81+(M82*(M79*(1+$A113)^7)/M79)+(M83*(M79*(1+$A113)^7)/M79))*(1+$B$46))/($B$25-$B$46))/(1+$B$25)^7)-$B$17-$B$19+$B$18)/$B$69</f>
        <v>117.050885956742</v>
      </c>
      <c r="D113" s="113" t="n">
        <f aca="false">(((((((G79*(1+$A113)^1)*(G80+D$108))-G81)*(1-G84))+G81+(G82*(G79*(1+$A113)^1)/G79)+(G83*(G79*(1+$A113)^1)/G79))/(1+$B$25)^1+(((((H79*(1+$A113)^2)*(H80+D$108))-H81)*(1-H84))+H81+(H82*(H79*(1+$A113)^2)/H79)+(H83*(H79*(1+$A113)^2)/H79))/(1+$B$25)^2+(((((I79*(1+$A113)^3)*(I80+D$108))-I81)*(1-I84))+I81+(I82*(I79*(1+$A113)^3)/I79)+(I83*(I79*(1+$A113)^3)/I79))/(1+$B$25)^3+(((((J79*(1+$A113)^4)*(J80+D$108))-J81)*(1-J84))+J81+(J82*(J79*(1+$A113)^4)/J79)+(J83*(J79*(1+$A113)^4)/J79))/(1+$B$25)^4+(((((K79*(1+$A113)^5)*(K80+D$108))-K81)*(1-K84))+K81+(K82*(K79*(1+$A113)^5)/K79)+(K83*(K79*(1+$A113)^5)/K79))/(1+$B$25)^5+(((((L79*(1+$A113)^6)*(L80+D$108))-L81)*(1-L84))+L81+(L82*(L79*(1+$A113)^6)/L79)+(L83*(L79*(1+$A113)^6)/L79))/(1+$B$25)^6+(((((M79*(1+$A113)^7)*(M80+D$108))-M81)*(1-M84))+M81+(M82*(M79*(1+$A113)^7)/M79)+(M83*(M79*(1+$A113)^7)/M79))/(1+$B$25)^7+(((((((M79*(1+$A113)^7)*(M80+D$108))-M81)*(1-M84))+M81+(M82*(M79*(1+$A113)^7)/M79)+(M83*(M79*(1+$A113)^7)/M79))*(1+$B$46))/($B$25-$B$46))/(1+$B$25)^7)-$B$17-$B$19+$B$18)/$B$69</f>
        <v>138.830700071839</v>
      </c>
      <c r="E113" s="113" t="n">
        <f aca="false">(((((((G79*(1+$A113)^1)*(G80+E$108))-G81)*(1-G84))+G81+(G82*(G79*(1+$A113)^1)/G79)+(G83*(G79*(1+$A113)^1)/G79))/(1+$B$25)^1+(((((H79*(1+$A113)^2)*(H80+E$108))-H81)*(1-H84))+H81+(H82*(H79*(1+$A113)^2)/H79)+(H83*(H79*(1+$A113)^2)/H79))/(1+$B$25)^2+(((((I79*(1+$A113)^3)*(I80+E$108))-I81)*(1-I84))+I81+(I82*(I79*(1+$A113)^3)/I79)+(I83*(I79*(1+$A113)^3)/I79))/(1+$B$25)^3+(((((J79*(1+$A113)^4)*(J80+E$108))-J81)*(1-J84))+J81+(J82*(J79*(1+$A113)^4)/J79)+(J83*(J79*(1+$A113)^4)/J79))/(1+$B$25)^4+(((((K79*(1+$A113)^5)*(K80+E$108))-K81)*(1-K84))+K81+(K82*(K79*(1+$A113)^5)/K79)+(K83*(K79*(1+$A113)^5)/K79))/(1+$B$25)^5+(((((L79*(1+$A113)^6)*(L80+E$108))-L81)*(1-L84))+L81+(L82*(L79*(1+$A113)^6)/L79)+(L83*(L79*(1+$A113)^6)/L79))/(1+$B$25)^6+(((((M79*(1+$A113)^7)*(M80+E$108))-M81)*(1-M84))+M81+(M82*(M79*(1+$A113)^7)/M79)+(M83*(M79*(1+$A113)^7)/M79))/(1+$B$25)^7+(((((((M79*(1+$A113)^7)*(M80+E$108))-M81)*(1-M84))+M81+(M82*(M79*(1+$A113)^7)/M79)+(M83*(M79*(1+$A113)^7)/M79))*(1+$B$46))/($B$25-$B$46))/(1+$B$25)^7)-$B$17-$B$19+$B$18)/$B$69</f>
        <v>160.610514186937</v>
      </c>
      <c r="F113" s="113" t="n">
        <f aca="false">(((((((G79*(1+$A113)^1)*(G80+F$108))-G81)*(1-G84))+G81+(G82*(G79*(1+$A113)^1)/G79)+(G83*(G79*(1+$A113)^1)/G79))/(1+$B$25)^1+(((((H79*(1+$A113)^2)*(H80+F$108))-H81)*(1-H84))+H81+(H82*(H79*(1+$A113)^2)/H79)+(H83*(H79*(1+$A113)^2)/H79))/(1+$B$25)^2+(((((I79*(1+$A113)^3)*(I80+F$108))-I81)*(1-I84))+I81+(I82*(I79*(1+$A113)^3)/I79)+(I83*(I79*(1+$A113)^3)/I79))/(1+$B$25)^3+(((((J79*(1+$A113)^4)*(J80+F$108))-J81)*(1-J84))+J81+(J82*(J79*(1+$A113)^4)/J79)+(J83*(J79*(1+$A113)^4)/J79))/(1+$B$25)^4+(((((K79*(1+$A113)^5)*(K80+F$108))-K81)*(1-K84))+K81+(K82*(K79*(1+$A113)^5)/K79)+(K83*(K79*(1+$A113)^5)/K79))/(1+$B$25)^5+(((((L79*(1+$A113)^6)*(L80+F$108))-L81)*(1-L84))+L81+(L82*(L79*(1+$A113)^6)/L79)+(L83*(L79*(1+$A113)^6)/L79))/(1+$B$25)^6+(((((M79*(1+$A113)^7)*(M80+F$108))-M81)*(1-M84))+M81+(M82*(M79*(1+$A113)^7)/M79)+(M83*(M79*(1+$A113)^7)/M79))/(1+$B$25)^7+(((((((M79*(1+$A113)^7)*(M80+F$108))-M81)*(1-M84))+M81+(M82*(M79*(1+$A113)^7)/M79)+(M83*(M79*(1+$A113)^7)/M79))*(1+$B$46))/($B$25-$B$46))/(1+$B$25)^7)-$B$17-$B$19+$B$18)/$B$69</f>
        <v>182.390328302034</v>
      </c>
    </row>
    <row r="116" customFormat="false" ht="15.75" hidden="false" customHeight="true" outlineLevel="0" collapsed="false">
      <c r="A116" s="5" t="s">
        <v>904</v>
      </c>
      <c r="B116" s="5"/>
      <c r="C116" s="5"/>
      <c r="D116" s="5"/>
      <c r="E116" s="5"/>
      <c r="F116" s="5"/>
      <c r="G116" s="5"/>
      <c r="H116" s="5"/>
      <c r="I116" s="5"/>
      <c r="J116" s="5"/>
      <c r="K116" s="5"/>
      <c r="L116" s="5"/>
      <c r="M116" s="5"/>
    </row>
    <row r="117" customFormat="false" ht="15" hidden="false" customHeight="false" outlineLevel="0" collapsed="false">
      <c r="A117" s="16" t="s">
        <v>905</v>
      </c>
      <c r="B117" s="16"/>
      <c r="C117" s="16"/>
      <c r="D117" s="16"/>
      <c r="E117" s="16"/>
      <c r="F117" s="16"/>
      <c r="G117" s="16"/>
      <c r="H117" s="16"/>
      <c r="I117" s="16"/>
      <c r="J117" s="16"/>
      <c r="K117" s="16"/>
      <c r="L117" s="16"/>
      <c r="M117" s="16"/>
    </row>
    <row r="118" customFormat="false" ht="15" hidden="false" customHeight="false" outlineLevel="0" collapsed="false">
      <c r="A118" s="37" t="s">
        <v>906</v>
      </c>
      <c r="B118" s="111" t="n">
        <f aca="false">$B$25+(-0.01)</f>
        <v>0.0643025074560951</v>
      </c>
      <c r="C118" s="111" t="n">
        <f aca="false">$B$25+(-0.005)</f>
        <v>0.0693025074560951</v>
      </c>
      <c r="D118" s="111" t="n">
        <f aca="false">$B$25+(0)</f>
        <v>0.0743025074560951</v>
      </c>
      <c r="E118" s="111" t="n">
        <f aca="false">$B$25+(0.005)</f>
        <v>0.0793025074560951</v>
      </c>
      <c r="F118" s="111" t="n">
        <f aca="false">$B$25+(0.01)</f>
        <v>0.0843025074560951</v>
      </c>
    </row>
    <row r="119" customFormat="false" ht="15" hidden="false" customHeight="false" outlineLevel="0" collapsed="false">
      <c r="A119" s="116" t="n">
        <v>-0.02</v>
      </c>
      <c r="B119" s="113" t="n">
        <f aca="false">(((((((G79*(1+$A119)^1)*G80)-G81)*(1-G84))+G81+(G82*(G79*(1+$A119)^1)/G79)+(G83*(G79*(1+$A119)^1)/G79))/(1+B$118)^1+(((((H79*(1+$A119)^2)*H80)-H81)*(1-H84))+H81+(H82*(H79*(1+$A119)^2)/H79)+(H83*(H79*(1+$A119)^2)/H79))/(1+B$118)^2+(((((I79*(1+$A119)^3)*I80)-I81)*(1-I84))+I81+(I82*(I79*(1+$A119)^3)/I79)+(I83*(I79*(1+$A119)^3)/I79))/(1+B$118)^3+(((((J79*(1+$A119)^4)*J80)-J81)*(1-J84))+J81+(J82*(J79*(1+$A119)^4)/J79)+(J83*(J79*(1+$A119)^4)/J79))/(1+B$118)^4+(((((K79*(1+$A119)^5)*K80)-K81)*(1-K84))+K81+(K82*(K79*(1+$A119)^5)/K79)+(K83*(K79*(1+$A119)^5)/K79))/(1+B$118)^5+(((((L79*(1+$A119)^6)*L80)-L81)*(1-L84))+L81+(L82*(L79*(1+$A119)^6)/L79)+(L83*(L79*(1+$A119)^6)/L79))/(1+B$118)^6+(((((M79*(1+$A119)^7)*M80)-M81)*(1-M84))+M81+(M82*(M79*(1+$A119)^7)/M79)+(M83*(M79*(1+$A119)^7)/M79))/(1+B$118)^7+(((((((M79*(1+$A119)^7)*M80)-M81)*(1-M84))+M81+(M82*(M79*(1+$A119)^7)/M79)+(M83*(M79*(1+$A119)^7)/M79))*(1+$B$46))/(B$118-$B$46))/(1+B$118)^7)-$B$17-$B$19+$B$18)/$B$69</f>
        <v>146.831419399506</v>
      </c>
      <c r="C119" s="113" t="n">
        <f aca="false">(((((((G79*(1+$A119)^1)*G80)-G81)*(1-G84))+G81+(G82*(G79*(1+$A119)^1)/G79)+(G83*(G79*(1+$A119)^1)/G79))/(1+C$118)^1+(((((H79*(1+$A119)^2)*H80)-H81)*(1-H84))+H81+(H82*(H79*(1+$A119)^2)/H79)+(H83*(H79*(1+$A119)^2)/H79))/(1+C$118)^2+(((((I79*(1+$A119)^3)*I80)-I81)*(1-I84))+I81+(I82*(I79*(1+$A119)^3)/I79)+(I83*(I79*(1+$A119)^3)/I79))/(1+C$118)^3+(((((J79*(1+$A119)^4)*J80)-J81)*(1-J84))+J81+(J82*(J79*(1+$A119)^4)/J79)+(J83*(J79*(1+$A119)^4)/J79))/(1+C$118)^4+(((((K79*(1+$A119)^5)*K80)-K81)*(1-K84))+K81+(K82*(K79*(1+$A119)^5)/K79)+(K83*(K79*(1+$A119)^5)/K79))/(1+C$118)^5+(((((L79*(1+$A119)^6)*L80)-L81)*(1-L84))+L81+(L82*(L79*(1+$A119)^6)/L79)+(L83*(L79*(1+$A119)^6)/L79))/(1+C$118)^6+(((((M79*(1+$A119)^7)*M80)-M81)*(1-M84))+M81+(M82*(M79*(1+$A119)^7)/M79)+(M83*(M79*(1+$A119)^7)/M79))/(1+C$118)^7+(((((((M79*(1+$A119)^7)*M80)-M81)*(1-M84))+M81+(M82*(M79*(1+$A119)^7)/M79)+(M83*(M79*(1+$A119)^7)/M79))*(1+$B$46))/(C$118-$B$46))/(1+C$118)^7)-$B$17-$B$19+$B$18)/$B$69</f>
        <v>127.234131525715</v>
      </c>
      <c r="D119" s="113" t="n">
        <f aca="false">(((((((G79*(1+$A119)^1)*G80)-G81)*(1-G84))+G81+(G82*(G79*(1+$A119)^1)/G79)+(G83*(G79*(1+$A119)^1)/G79))/(1+D$118)^1+(((((H79*(1+$A119)^2)*H80)-H81)*(1-H84))+H81+(H82*(H79*(1+$A119)^2)/H79)+(H83*(H79*(1+$A119)^2)/H79))/(1+D$118)^2+(((((I79*(1+$A119)^3)*I80)-I81)*(1-I84))+I81+(I82*(I79*(1+$A119)^3)/I79)+(I83*(I79*(1+$A119)^3)/I79))/(1+D$118)^3+(((((J79*(1+$A119)^4)*J80)-J81)*(1-J84))+J81+(J82*(J79*(1+$A119)^4)/J79)+(J83*(J79*(1+$A119)^4)/J79))/(1+D$118)^4+(((((K79*(1+$A119)^5)*K80)-K81)*(1-K84))+K81+(K82*(K79*(1+$A119)^5)/K79)+(K83*(K79*(1+$A119)^5)/K79))/(1+D$118)^5+(((((L79*(1+$A119)^6)*L80)-L81)*(1-L84))+L81+(L82*(L79*(1+$A119)^6)/L79)+(L83*(L79*(1+$A119)^6)/L79))/(1+D$118)^6+(((((M79*(1+$A119)^7)*M80)-M81)*(1-M84))+M81+(M82*(M79*(1+$A119)^7)/M79)+(M83*(M79*(1+$A119)^7)/M79))/(1+D$118)^7+(((((((M79*(1+$A119)^7)*M80)-M81)*(1-M84))+M81+(M82*(M79*(1+$A119)^7)/M79)+(M83*(M79*(1+$A119)^7)/M79))*(1+$B$46))/(D$118-$B$46))/(1+D$118)^7)-$B$17-$B$19+$B$18)/$B$69</f>
        <v>111.604873718937</v>
      </c>
      <c r="E119" s="113" t="n">
        <f aca="false">(((((((G79*(1+$A119)^1)*G80)-G81)*(1-G84))+G81+(G82*(G79*(1+$A119)^1)/G79)+(G83*(G79*(1+$A119)^1)/G79))/(1+E$118)^1+(((((H79*(1+$A119)^2)*H80)-H81)*(1-H84))+H81+(H82*(H79*(1+$A119)^2)/H79)+(H83*(H79*(1+$A119)^2)/H79))/(1+E$118)^2+(((((I79*(1+$A119)^3)*I80)-I81)*(1-I84))+I81+(I82*(I79*(1+$A119)^3)/I79)+(I83*(I79*(1+$A119)^3)/I79))/(1+E$118)^3+(((((J79*(1+$A119)^4)*J80)-J81)*(1-J84))+J81+(J82*(J79*(1+$A119)^4)/J79)+(J83*(J79*(1+$A119)^4)/J79))/(1+E$118)^4+(((((K79*(1+$A119)^5)*K80)-K81)*(1-K84))+K81+(K82*(K79*(1+$A119)^5)/K79)+(K83*(K79*(1+$A119)^5)/K79))/(1+E$118)^5+(((((L79*(1+$A119)^6)*L80)-L81)*(1-L84))+L81+(L82*(L79*(1+$A119)^6)/L79)+(L83*(L79*(1+$A119)^6)/L79))/(1+E$118)^6+(((((M79*(1+$A119)^7)*M80)-M81)*(1-M84))+M81+(M82*(M79*(1+$A119)^7)/M79)+(M83*(M79*(1+$A119)^7)/M79))/(1+E$118)^7+(((((((M79*(1+$A119)^7)*M80)-M81)*(1-M84))+M81+(M82*(M79*(1+$A119)^7)/M79)+(M83*(M79*(1+$A119)^7)/M79))*(1+$B$46))/(E$118-$B$46))/(1+E$118)^7)-$B$17-$B$19+$B$18)/$B$69</f>
        <v>98.8477520151068</v>
      </c>
      <c r="F119" s="113" t="n">
        <f aca="false">(((((((G79*(1+$A119)^1)*G80)-G81)*(1-G84))+G81+(G82*(G79*(1+$A119)^1)/G79)+(G83*(G79*(1+$A119)^1)/G79))/(1+F$118)^1+(((((H79*(1+$A119)^2)*H80)-H81)*(1-H84))+H81+(H82*(H79*(1+$A119)^2)/H79)+(H83*(H79*(1+$A119)^2)/H79))/(1+F$118)^2+(((((I79*(1+$A119)^3)*I80)-I81)*(1-I84))+I81+(I82*(I79*(1+$A119)^3)/I79)+(I83*(I79*(1+$A119)^3)/I79))/(1+F$118)^3+(((((J79*(1+$A119)^4)*J80)-J81)*(1-J84))+J81+(J82*(J79*(1+$A119)^4)/J79)+(J83*(J79*(1+$A119)^4)/J79))/(1+F$118)^4+(((((K79*(1+$A119)^5)*K80)-K81)*(1-K84))+K81+(K82*(K79*(1+$A119)^5)/K79)+(K83*(K79*(1+$A119)^5)/K79))/(1+F$118)^5+(((((L79*(1+$A119)^6)*L80)-L81)*(1-L84))+L81+(L82*(L79*(1+$A119)^6)/L79)+(L83*(L79*(1+$A119)^6)/L79))/(1+F$118)^6+(((((M79*(1+$A119)^7)*M80)-M81)*(1-M84))+M81+(M82*(M79*(1+$A119)^7)/M79)+(M83*(M79*(1+$A119)^7)/M79))/(1+F$118)^7+(((((((M79*(1+$A119)^7)*M80)-M81)*(1-M84))+M81+(M82*(M79*(1+$A119)^7)/M79)+(M83*(M79*(1+$A119)^7)/M79))*(1+$B$46))/(F$118-$B$46))/(1+F$118)^7)-$B$17-$B$19+$B$18)/$B$69</f>
        <v>88.2364604054601</v>
      </c>
    </row>
    <row r="120" customFormat="false" ht="15" hidden="false" customHeight="false" outlineLevel="0" collapsed="false">
      <c r="A120" s="116" t="n">
        <v>-0.01</v>
      </c>
      <c r="B120" s="113" t="n">
        <f aca="false">(((((((G79*(1+$A120)^1)*G80)-G81)*(1-G84))+G81+(G82*(G79*(1+$A120)^1)/G79)+(G83*(G79*(1+$A120)^1)/G79))/(1+B$118)^1+(((((H79*(1+$A120)^2)*H80)-H81)*(1-H84))+H81+(H82*(H79*(1+$A120)^2)/H79)+(H83*(H79*(1+$A120)^2)/H79))/(1+B$118)^2+(((((I79*(1+$A120)^3)*I80)-I81)*(1-I84))+I81+(I82*(I79*(1+$A120)^3)/I79)+(I83*(I79*(1+$A120)^3)/I79))/(1+B$118)^3+(((((J79*(1+$A120)^4)*J80)-J81)*(1-J84))+J81+(J82*(J79*(1+$A120)^4)/J79)+(J83*(J79*(1+$A120)^4)/J79))/(1+B$118)^4+(((((K79*(1+$A120)^5)*K80)-K81)*(1-K84))+K81+(K82*(K79*(1+$A120)^5)/K79)+(K83*(K79*(1+$A120)^5)/K79))/(1+B$118)^5+(((((L79*(1+$A120)^6)*L80)-L81)*(1-L84))+L81+(L82*(L79*(1+$A120)^6)/L79)+(L83*(L79*(1+$A120)^6)/L79))/(1+B$118)^6+(((((M79*(1+$A120)^7)*M80)-M81)*(1-M84))+M81+(M82*(M79*(1+$A120)^7)/M79)+(M83*(M79*(1+$A120)^7)/M79))/(1+B$118)^7+(((((((M79*(1+$A120)^7)*M80)-M81)*(1-M84))+M81+(M82*(M79*(1+$A120)^7)/M79)+(M83*(M79*(1+$A120)^7)/M79))*(1+$B$46))/(B$118-$B$46))/(1+B$118)^7)-$B$17-$B$19+$B$18)/$B$69</f>
        <v>154.848475592101</v>
      </c>
      <c r="C120" s="113" t="n">
        <f aca="false">(((((((G79*(1+$A120)^1)*G80)-G81)*(1-G84))+G81+(G82*(G79*(1+$A120)^1)/G79)+(G83*(G79*(1+$A120)^1)/G79))/(1+C$118)^1+(((((H79*(1+$A120)^2)*H80)-H81)*(1-H84))+H81+(H82*(H79*(1+$A120)^2)/H79)+(H83*(H79*(1+$A120)^2)/H79))/(1+C$118)^2+(((((I79*(1+$A120)^3)*I80)-I81)*(1-I84))+I81+(I82*(I79*(1+$A120)^3)/I79)+(I83*(I79*(1+$A120)^3)/I79))/(1+C$118)^3+(((((J79*(1+$A120)^4)*J80)-J81)*(1-J84))+J81+(J82*(J79*(1+$A120)^4)/J79)+(J83*(J79*(1+$A120)^4)/J79))/(1+C$118)^4+(((((K79*(1+$A120)^5)*K80)-K81)*(1-K84))+K81+(K82*(K79*(1+$A120)^5)/K79)+(K83*(K79*(1+$A120)^5)/K79))/(1+C$118)^5+(((((L79*(1+$A120)^6)*L80)-L81)*(1-L84))+L81+(L82*(L79*(1+$A120)^6)/L79)+(L83*(L79*(1+$A120)^6)/L79))/(1+C$118)^6+(((((M79*(1+$A120)^7)*M80)-M81)*(1-M84))+M81+(M82*(M79*(1+$A120)^7)/M79)+(M83*(M79*(1+$A120)^7)/M79))/(1+C$118)^7+(((((((M79*(1+$A120)^7)*M80)-M81)*(1-M84))+M81+(M82*(M79*(1+$A120)^7)/M79)+(M83*(M79*(1+$A120)^7)/M79))*(1+$B$46))/(C$118-$B$46))/(1+C$118)^7)-$B$17-$B$19+$B$18)/$B$69</f>
        <v>134.264400242129</v>
      </c>
      <c r="D120" s="113" t="n">
        <f aca="false">(((((((G79*(1+$A120)^1)*G80)-G81)*(1-G84))+G81+(G82*(G79*(1+$A120)^1)/G79)+(G83*(G79*(1+$A120)^1)/G79))/(1+D$118)^1+(((((H79*(1+$A120)^2)*H80)-H81)*(1-H84))+H81+(H82*(H79*(1+$A120)^2)/H79)+(H83*(H79*(1+$A120)^2)/H79))/(1+D$118)^2+(((((I79*(1+$A120)^3)*I80)-I81)*(1-I84))+I81+(I82*(I79*(1+$A120)^3)/I79)+(I83*(I79*(1+$A120)^3)/I79))/(1+D$118)^3+(((((J79*(1+$A120)^4)*J80)-J81)*(1-J84))+J81+(J82*(J79*(1+$A120)^4)/J79)+(J83*(J79*(1+$A120)^4)/J79))/(1+D$118)^4+(((((K79*(1+$A120)^5)*K80)-K81)*(1-K84))+K81+(K82*(K79*(1+$A120)^5)/K79)+(K83*(K79*(1+$A120)^5)/K79))/(1+D$118)^5+(((((L79*(1+$A120)^6)*L80)-L81)*(1-L84))+L81+(L82*(L79*(1+$A120)^6)/L79)+(L83*(L79*(1+$A120)^6)/L79))/(1+D$118)^6+(((((M79*(1+$A120)^7)*M80)-M81)*(1-M84))+M81+(M82*(M79*(1+$A120)^7)/M79)+(M83*(M79*(1+$A120)^7)/M79))/(1+D$118)^7+(((((((M79*(1+$A120)^7)*M80)-M81)*(1-M84))+M81+(M82*(M79*(1+$A120)^7)/M79)+(M83*(M79*(1+$A120)^7)/M79))*(1+$B$46))/(D$118-$B$46))/(1+D$118)^7)-$B$17-$B$19+$B$18)/$B$69</f>
        <v>117.850191466987</v>
      </c>
      <c r="E120" s="113" t="n">
        <f aca="false">(((((((G79*(1+$A120)^1)*G80)-G81)*(1-G84))+G81+(G82*(G79*(1+$A120)^1)/G79)+(G83*(G79*(1+$A120)^1)/G79))/(1+E$118)^1+(((((H79*(1+$A120)^2)*H80)-H81)*(1-H84))+H81+(H82*(H79*(1+$A120)^2)/H79)+(H83*(H79*(1+$A120)^2)/H79))/(1+E$118)^2+(((((I79*(1+$A120)^3)*I80)-I81)*(1-I84))+I81+(I82*(I79*(1+$A120)^3)/I79)+(I83*(I79*(1+$A120)^3)/I79))/(1+E$118)^3+(((((J79*(1+$A120)^4)*J80)-J81)*(1-J84))+J81+(J82*(J79*(1+$A120)^4)/J79)+(J83*(J79*(1+$A120)^4)/J79))/(1+E$118)^4+(((((K79*(1+$A120)^5)*K80)-K81)*(1-K84))+K81+(K82*(K79*(1+$A120)^5)/K79)+(K83*(K79*(1+$A120)^5)/K79))/(1+E$118)^5+(((((L79*(1+$A120)^6)*L80)-L81)*(1-L84))+L81+(L82*(L79*(1+$A120)^6)/L79)+(L83*(L79*(1+$A120)^6)/L79))/(1+E$118)^6+(((((M79*(1+$A120)^7)*M80)-M81)*(1-M84))+M81+(M82*(M79*(1+$A120)^7)/M79)+(M83*(M79*(1+$A120)^7)/M79))/(1+E$118)^7+(((((((M79*(1+$A120)^7)*M80)-M81)*(1-M84))+M81+(M82*(M79*(1+$A120)^7)/M79)+(M83*(M79*(1+$A120)^7)/M79))*(1+$B$46))/(E$118-$B$46))/(1+E$118)^7)-$B$17-$B$19+$B$18)/$B$69</f>
        <v>104.454156461818</v>
      </c>
      <c r="F120" s="113" t="n">
        <f aca="false">(((((((G79*(1+$A120)^1)*G80)-G81)*(1-G84))+G81+(G82*(G79*(1+$A120)^1)/G79)+(G83*(G79*(1+$A120)^1)/G79))/(1+F$118)^1+(((((H79*(1+$A120)^2)*H80)-H81)*(1-H84))+H81+(H82*(H79*(1+$A120)^2)/H79)+(H83*(H79*(1+$A120)^2)/H79))/(1+F$118)^2+(((((I79*(1+$A120)^3)*I80)-I81)*(1-I84))+I81+(I82*(I79*(1+$A120)^3)/I79)+(I83*(I79*(1+$A120)^3)/I79))/(1+F$118)^3+(((((J79*(1+$A120)^4)*J80)-J81)*(1-J84))+J81+(J82*(J79*(1+$A120)^4)/J79)+(J83*(J79*(1+$A120)^4)/J79))/(1+F$118)^4+(((((K79*(1+$A120)^5)*K80)-K81)*(1-K84))+K81+(K82*(K79*(1+$A120)^5)/K79)+(K83*(K79*(1+$A120)^5)/K79))/(1+F$118)^5+(((((L79*(1+$A120)^6)*L80)-L81)*(1-L84))+L81+(L82*(L79*(1+$A120)^6)/L79)+(L83*(L79*(1+$A120)^6)/L79))/(1+F$118)^6+(((((M79*(1+$A120)^7)*M80)-M81)*(1-M84))+M81+(M82*(M79*(1+$A120)^7)/M79)+(M83*(M79*(1+$A120)^7)/M79))/(1+F$118)^7+(((((((M79*(1+$A120)^7)*M80)-M81)*(1-M84))+M81+(M82*(M79*(1+$A120)^7)/M79)+(M83*(M79*(1+$A120)^7)/M79))*(1+$B$46))/(F$118-$B$46))/(1+F$118)^7)-$B$17-$B$19+$B$18)/$B$69</f>
        <v>93.3130102305927</v>
      </c>
    </row>
    <row r="121" customFormat="false" ht="15" hidden="false" customHeight="false" outlineLevel="0" collapsed="false">
      <c r="A121" s="116" t="n">
        <v>0</v>
      </c>
      <c r="B121" s="113" t="n">
        <f aca="false">(((((((G79*(1+$A121)^1)*G80)-G81)*(1-G84))+G81+(G82*(G79*(1+$A121)^1)/G79)+(G83*(G79*(1+$A121)^1)/G79))/(1+B$118)^1+(((((H79*(1+$A121)^2)*H80)-H81)*(1-H84))+H81+(H82*(H79*(1+$A121)^2)/H79)+(H83*(H79*(1+$A121)^2)/H79))/(1+B$118)^2+(((((I79*(1+$A121)^3)*I80)-I81)*(1-I84))+I81+(I82*(I79*(1+$A121)^3)/I79)+(I83*(I79*(1+$A121)^3)/I79))/(1+B$118)^3+(((((J79*(1+$A121)^4)*J80)-J81)*(1-J84))+J81+(J82*(J79*(1+$A121)^4)/J79)+(J83*(J79*(1+$A121)^4)/J79))/(1+B$118)^4+(((((K79*(1+$A121)^5)*K80)-K81)*(1-K84))+K81+(K82*(K79*(1+$A121)^5)/K79)+(K83*(K79*(1+$A121)^5)/K79))/(1+B$118)^5+(((((L79*(1+$A121)^6)*L80)-L81)*(1-L84))+L81+(L82*(L79*(1+$A121)^6)/L79)+(L83*(L79*(1+$A121)^6)/L79))/(1+B$118)^6+(((((M79*(1+$A121)^7)*M80)-M81)*(1-M84))+M81+(M82*(M79*(1+$A121)^7)/M79)+(M83*(M79*(1+$A121)^7)/M79))/(1+B$118)^7+(((((((M79*(1+$A121)^7)*M80)-M81)*(1-M84))+M81+(M82*(M79*(1+$A121)^7)/M79)+(M83*(M79*(1+$A121)^7)/M79))*(1+$B$46))/(B$118-$B$46))/(1+B$118)^7)-$B$17-$B$19+$B$18)/$B$69</f>
        <v>163.337310304501</v>
      </c>
      <c r="C121" s="113" t="n">
        <f aca="false">(((((((G79*(1+$A121)^1)*G80)-G81)*(1-G84))+G81+(G82*(G79*(1+$A121)^1)/G79)+(G83*(G79*(1+$A121)^1)/G79))/(1+C$118)^1+(((((H79*(1+$A121)^2)*H80)-H81)*(1-H84))+H81+(H82*(H79*(1+$A121)^2)/H79)+(H83*(H79*(1+$A121)^2)/H79))/(1+C$118)^2+(((((I79*(1+$A121)^3)*I80)-I81)*(1-I84))+I81+(I82*(I79*(1+$A121)^3)/I79)+(I83*(I79*(1+$A121)^3)/I79))/(1+C$118)^3+(((((J79*(1+$A121)^4)*J80)-J81)*(1-J84))+J81+(J82*(J79*(1+$A121)^4)/J79)+(J83*(J79*(1+$A121)^4)/J79))/(1+C$118)^4+(((((K79*(1+$A121)^5)*K80)-K81)*(1-K84))+K81+(K82*(K79*(1+$A121)^5)/K79)+(K83*(K79*(1+$A121)^5)/K79))/(1+C$118)^5+(((((L79*(1+$A121)^6)*L80)-L81)*(1-L84))+L81+(L82*(L79*(1+$A121)^6)/L79)+(L83*(L79*(1+$A121)^6)/L79))/(1+C$118)^6+(((((M79*(1+$A121)^7)*M80)-M81)*(1-M84))+M81+(M82*(M79*(1+$A121)^7)/M79)+(M83*(M79*(1+$A121)^7)/M79))/(1+C$118)^7+(((((((M79*(1+$A121)^7)*M80)-M81)*(1-M84))+M81+(M82*(M79*(1+$A121)^7)/M79)+(M83*(M79*(1+$A121)^7)/M79))*(1+$B$46))/(C$118-$B$46))/(1+C$118)^7)-$B$17-$B$19+$B$18)/$B$69</f>
        <v>141.705249850727</v>
      </c>
      <c r="D121" s="100" t="n">
        <f aca="false">(((((((G79*(1+$A121)^1)*G80)-G81)*(1-G84))+G81+(G82*(G79*(1+$A121)^1)/G79)+(G83*(G79*(1+$A121)^1)/G79))/(1+D$118)^1+(((((H79*(1+$A121)^2)*H80)-H81)*(1-H84))+H81+(H82*(H79*(1+$A121)^2)/H79)+(H83*(H79*(1+$A121)^2)/H79))/(1+D$118)^2+(((((I79*(1+$A121)^3)*I80)-I81)*(1-I84))+I81+(I82*(I79*(1+$A121)^3)/I79)+(I83*(I79*(1+$A121)^3)/I79))/(1+D$118)^3+(((((J79*(1+$A121)^4)*J80)-J81)*(1-J84))+J81+(J82*(J79*(1+$A121)^4)/J79)+(J83*(J79*(1+$A121)^4)/J79))/(1+D$118)^4+(((((K79*(1+$A121)^5)*K80)-K81)*(1-K84))+K81+(K82*(K79*(1+$A121)^5)/K79)+(K83*(K79*(1+$A121)^5)/K79))/(1+D$118)^5+(((((L79*(1+$A121)^6)*L80)-L81)*(1-L84))+L81+(L82*(L79*(1+$A121)^6)/L79)+(L83*(L79*(1+$A121)^6)/L79))/(1+D$118)^6+(((((M79*(1+$A121)^7)*M80)-M81)*(1-M84))+M81+(M82*(M79*(1+$A121)^7)/M79)+(M83*(M79*(1+$A121)^7)/M79))/(1+D$118)^7+(((((((M79*(1+$A121)^7)*M80)-M81)*(1-M84))+M81+(M82*(M79*(1+$A121)^7)/M79)+(M83*(M79*(1+$A121)^7)/M79))*(1+$B$46))/(D$118-$B$46))/(1+D$118)^7)-$B$17-$B$19+$B$18)/$B$69</f>
        <v>124.457492322313</v>
      </c>
      <c r="E121" s="113" t="n">
        <f aca="false">(((((((G79*(1+$A121)^1)*G80)-G81)*(1-G84))+G81+(G82*(G79*(1+$A121)^1)/G79)+(G83*(G79*(1+$A121)^1)/G79))/(1+E$118)^1+(((((H79*(1+$A121)^2)*H80)-H81)*(1-H84))+H81+(H82*(H79*(1+$A121)^2)/H79)+(H83*(H79*(1+$A121)^2)/H79))/(1+E$118)^2+(((((I79*(1+$A121)^3)*I80)-I81)*(1-I84))+I81+(I82*(I79*(1+$A121)^3)/I79)+(I83*(I79*(1+$A121)^3)/I79))/(1+E$118)^3+(((((J79*(1+$A121)^4)*J80)-J81)*(1-J84))+J81+(J82*(J79*(1+$A121)^4)/J79)+(J83*(J79*(1+$A121)^4)/J79))/(1+E$118)^4+(((((K79*(1+$A121)^5)*K80)-K81)*(1-K84))+K81+(K82*(K79*(1+$A121)^5)/K79)+(K83*(K79*(1+$A121)^5)/K79))/(1+E$118)^5+(((((L79*(1+$A121)^6)*L80)-L81)*(1-L84))+L81+(L82*(L79*(1+$A121)^6)/L79)+(L83*(L79*(1+$A121)^6)/L79))/(1+E$118)^6+(((((M79*(1+$A121)^7)*M80)-M81)*(1-M84))+M81+(M82*(M79*(1+$A121)^7)/M79)+(M83*(M79*(1+$A121)^7)/M79))/(1+E$118)^7+(((((((M79*(1+$A121)^7)*M80)-M81)*(1-M84))+M81+(M82*(M79*(1+$A121)^7)/M79)+(M83*(M79*(1+$A121)^7)/M79))*(1+$B$46))/(E$118-$B$46))/(1+E$118)^7)-$B$17-$B$19+$B$18)/$B$69</f>
        <v>110.383060176594</v>
      </c>
      <c r="F121" s="113" t="n">
        <f aca="false">(((((((G79*(1+$A121)^1)*G80)-G81)*(1-G84))+G81+(G82*(G79*(1+$A121)^1)/G79)+(G83*(G79*(1+$A121)^1)/G79))/(1+F$118)^1+(((((H79*(1+$A121)^2)*H80)-H81)*(1-H84))+H81+(H82*(H79*(1+$A121)^2)/H79)+(H83*(H79*(1+$A121)^2)/H79))/(1+F$118)^2+(((((I79*(1+$A121)^3)*I80)-I81)*(1-I84))+I81+(I82*(I79*(1+$A121)^3)/I79)+(I83*(I79*(1+$A121)^3)/I79))/(1+F$118)^3+(((((J79*(1+$A121)^4)*J80)-J81)*(1-J84))+J81+(J82*(J79*(1+$A121)^4)/J79)+(J83*(J79*(1+$A121)^4)/J79))/(1+F$118)^4+(((((K79*(1+$A121)^5)*K80)-K81)*(1-K84))+K81+(K82*(K79*(1+$A121)^5)/K79)+(K83*(K79*(1+$A121)^5)/K79))/(1+F$118)^5+(((((L79*(1+$A121)^6)*L80)-L81)*(1-L84))+L81+(L82*(L79*(1+$A121)^6)/L79)+(L83*(L79*(1+$A121)^6)/L79))/(1+F$118)^6+(((((M79*(1+$A121)^7)*M80)-M81)*(1-M84))+M81+(M82*(M79*(1+$A121)^7)/M79)+(M83*(M79*(1+$A121)^7)/M79))/(1+F$118)^7+(((((((M79*(1+$A121)^7)*M80)-M81)*(1-M84))+M81+(M82*(M79*(1+$A121)^7)/M79)+(M83*(M79*(1+$A121)^7)/M79))*(1+$B$46))/(F$118-$B$46))/(1+F$118)^7)-$B$17-$B$19+$B$18)/$B$69</f>
        <v>98.6793793510146</v>
      </c>
    </row>
    <row r="122" customFormat="false" ht="15" hidden="false" customHeight="false" outlineLevel="0" collapsed="false">
      <c r="A122" s="116" t="n">
        <v>0.01</v>
      </c>
      <c r="B122" s="113" t="n">
        <f aca="false">(((((((G79*(1+$A122)^1)*G80)-G81)*(1-G84))+G81+(G82*(G79*(1+$A122)^1)/G79)+(G83*(G79*(1+$A122)^1)/G79))/(1+B$118)^1+(((((H79*(1+$A122)^2)*H80)-H81)*(1-H84))+H81+(H82*(H79*(1+$A122)^2)/H79)+(H83*(H79*(1+$A122)^2)/H79))/(1+B$118)^2+(((((I79*(1+$A122)^3)*I80)-I81)*(1-I84))+I81+(I82*(I79*(1+$A122)^3)/I79)+(I83*(I79*(1+$A122)^3)/I79))/(1+B$118)^3+(((((J79*(1+$A122)^4)*J80)-J81)*(1-J84))+J81+(J82*(J79*(1+$A122)^4)/J79)+(J83*(J79*(1+$A122)^4)/J79))/(1+B$118)^4+(((((K79*(1+$A122)^5)*K80)-K81)*(1-K84))+K81+(K82*(K79*(1+$A122)^5)/K79)+(K83*(K79*(1+$A122)^5)/K79))/(1+B$118)^5+(((((L79*(1+$A122)^6)*L80)-L81)*(1-L84))+L81+(L82*(L79*(1+$A122)^6)/L79)+(L83*(L79*(1+$A122)^6)/L79))/(1+B$118)^6+(((((M79*(1+$A122)^7)*M80)-M81)*(1-M84))+M81+(M82*(M79*(1+$A122)^7)/M79)+(M83*(M79*(1+$A122)^7)/M79))/(1+B$118)^7+(((((((M79*(1+$A122)^7)*M80)-M81)*(1-M84))+M81+(M82*(M79*(1+$A122)^7)/M79)+(M83*(M79*(1+$A122)^7)/M79))*(1+$B$46))/(B$118-$B$46))/(1+B$118)^7)-$B$17-$B$19+$B$18)/$B$69</f>
        <v>172.321538707874</v>
      </c>
      <c r="C122" s="113" t="n">
        <f aca="false">(((((((G79*(1+$A122)^1)*G80)-G81)*(1-G84))+G81+(G82*(G79*(1+$A122)^1)/G79)+(G83*(G79*(1+$A122)^1)/G79))/(1+C$118)^1+(((((H79*(1+$A122)^2)*H80)-H81)*(1-H84))+H81+(H82*(H79*(1+$A122)^2)/H79)+(H83*(H79*(1+$A122)^2)/H79))/(1+C$118)^2+(((((I79*(1+$A122)^3)*I80)-I81)*(1-I84))+I81+(I82*(I79*(1+$A122)^3)/I79)+(I83*(I79*(1+$A122)^3)/I79))/(1+C$118)^3+(((((J79*(1+$A122)^4)*J80)-J81)*(1-J84))+J81+(J82*(J79*(1+$A122)^4)/J79)+(J83*(J79*(1+$A122)^4)/J79))/(1+C$118)^4+(((((K79*(1+$A122)^5)*K80)-K81)*(1-K84))+K81+(K82*(K79*(1+$A122)^5)/K79)+(K83*(K79*(1+$A122)^5)/K79))/(1+C$118)^5+(((((L79*(1+$A122)^6)*L80)-L81)*(1-L84))+L81+(L82*(L79*(1+$A122)^6)/L79)+(L83*(L79*(1+$A122)^6)/L79))/(1+C$118)^6+(((((M79*(1+$A122)^7)*M80)-M81)*(1-M84))+M81+(M82*(M79*(1+$A122)^7)/M79)+(M83*(M79*(1+$A122)^7)/M79))/(1+C$118)^7+(((((((M79*(1+$A122)^7)*M80)-M81)*(1-M84))+M81+(M82*(M79*(1+$A122)^7)/M79)+(M83*(M79*(1+$A122)^7)/M79))*(1+$B$46))/(C$118-$B$46))/(1+C$118)^7)-$B$17-$B$19+$B$18)/$B$69</f>
        <v>149.577155731652</v>
      </c>
      <c r="D122" s="113" t="n">
        <f aca="false">(((((((G79*(1+$A122)^1)*G80)-G81)*(1-G84))+G81+(G82*(G79*(1+$A122)^1)/G79)+(G83*(G79*(1+$A122)^1)/G79))/(1+D$118)^1+(((((H79*(1+$A122)^2)*H80)-H81)*(1-H84))+H81+(H82*(H79*(1+$A122)^2)/H79)+(H83*(H79*(1+$A122)^2)/H79))/(1+D$118)^2+(((((I79*(1+$A122)^3)*I80)-I81)*(1-I84))+I81+(I82*(I79*(1+$A122)^3)/I79)+(I83*(I79*(1+$A122)^3)/I79))/(1+D$118)^3+(((((J79*(1+$A122)^4)*J80)-J81)*(1-J84))+J81+(J82*(J79*(1+$A122)^4)/J79)+(J83*(J79*(1+$A122)^4)/J79))/(1+D$118)^4+(((((K79*(1+$A122)^5)*K80)-K81)*(1-K84))+K81+(K82*(K79*(1+$A122)^5)/K79)+(K83*(K79*(1+$A122)^5)/K79))/(1+D$118)^5+(((((L79*(1+$A122)^6)*L80)-L81)*(1-L84))+L81+(L82*(L79*(1+$A122)^6)/L79)+(L83*(L79*(1+$A122)^6)/L79))/(1+D$118)^6+(((((M79*(1+$A122)^7)*M80)-M81)*(1-M84))+M81+(M82*(M79*(1+$A122)^7)/M79)+(M83*(M79*(1+$A122)^7)/M79))/(1+D$118)^7+(((((((M79*(1+$A122)^7)*M80)-M81)*(1-M84))+M81+(M82*(M79*(1+$A122)^7)/M79)+(M83*(M79*(1+$A122)^7)/M79))*(1+$B$46))/(D$118-$B$46))/(1+D$118)^7)-$B$17-$B$19+$B$18)/$B$69</f>
        <v>131.444760811217</v>
      </c>
      <c r="E122" s="113" t="n">
        <f aca="false">(((((((G79*(1+$A122)^1)*G80)-G81)*(1-G84))+G81+(G82*(G79*(1+$A122)^1)/G79)+(G83*(G79*(1+$A122)^1)/G79))/(1+E$118)^1+(((((H79*(1+$A122)^2)*H80)-H81)*(1-H84))+H81+(H82*(H79*(1+$A122)^2)/H79)+(H83*(H79*(1+$A122)^2)/H79))/(1+E$118)^2+(((((I79*(1+$A122)^3)*I80)-I81)*(1-I84))+I81+(I82*(I79*(1+$A122)^3)/I79)+(I83*(I79*(1+$A122)^3)/I79))/(1+E$118)^3+(((((J79*(1+$A122)^4)*J80)-J81)*(1-J84))+J81+(J82*(J79*(1+$A122)^4)/J79)+(J83*(J79*(1+$A122)^4)/J79))/(1+E$118)^4+(((((K79*(1+$A122)^5)*K80)-K81)*(1-K84))+K81+(K82*(K79*(1+$A122)^5)/K79)+(K83*(K79*(1+$A122)^5)/K79))/(1+E$118)^5+(((((L79*(1+$A122)^6)*L80)-L81)*(1-L84))+L81+(L82*(L79*(1+$A122)^6)/L79)+(L83*(L79*(1+$A122)^6)/L79))/(1+E$118)^6+(((((M79*(1+$A122)^7)*M80)-M81)*(1-M84))+M81+(M82*(M79*(1+$A122)^7)/M79)+(M83*(M79*(1+$A122)^7)/M79))/(1+E$118)^7+(((((((M79*(1+$A122)^7)*M80)-M81)*(1-M84))+M81+(M82*(M79*(1+$A122)^7)/M79)+(M83*(M79*(1+$A122)^7)/M79))*(1+$B$46))/(E$118-$B$46))/(1+E$118)^7)-$B$17-$B$19+$B$18)/$B$69</f>
        <v>116.65042614461</v>
      </c>
      <c r="F122" s="113" t="n">
        <f aca="false">(((((((G79*(1+$A122)^1)*G80)-G81)*(1-G84))+G81+(G82*(G79*(1+$A122)^1)/G79)+(G83*(G79*(1+$A122)^1)/G79))/(1+F$118)^1+(((((H79*(1+$A122)^2)*H80)-H81)*(1-H84))+H81+(H82*(H79*(1+$A122)^2)/H79)+(H83*(H79*(1+$A122)^2)/H79))/(1+F$118)^2+(((((I79*(1+$A122)^3)*I80)-I81)*(1-I84))+I81+(I82*(I79*(1+$A122)^3)/I79)+(I83*(I79*(1+$A122)^3)/I79))/(1+F$118)^3+(((((J79*(1+$A122)^4)*J80)-J81)*(1-J84))+J81+(J82*(J79*(1+$A122)^4)/J79)+(J83*(J79*(1+$A122)^4)/J79))/(1+F$118)^4+(((((K79*(1+$A122)^5)*K80)-K81)*(1-K84))+K81+(K82*(K79*(1+$A122)^5)/K79)+(K83*(K79*(1+$A122)^5)/K79))/(1+F$118)^5+(((((L79*(1+$A122)^6)*L80)-L81)*(1-L84))+L81+(L82*(L79*(1+$A122)^6)/L79)+(L83*(L79*(1+$A122)^6)/L79))/(1+F$118)^6+(((((M79*(1+$A122)^7)*M80)-M81)*(1-M84))+M81+(M82*(M79*(1+$A122)^7)/M79)+(M83*(M79*(1+$A122)^7)/M79))/(1+F$118)^7+(((((((M79*(1+$A122)^7)*M80)-M81)*(1-M84))+M81+(M82*(M79*(1+$A122)^7)/M79)+(M83*(M79*(1+$A122)^7)/M79))*(1+$B$46))/(F$118-$B$46))/(1+F$118)^7)-$B$17-$B$19+$B$18)/$B$69</f>
        <v>104.349859491034</v>
      </c>
    </row>
    <row r="123" customFormat="false" ht="15" hidden="false" customHeight="false" outlineLevel="0" collapsed="false">
      <c r="A123" s="116" t="n">
        <v>0.02</v>
      </c>
      <c r="B123" s="113" t="n">
        <f aca="false">(((((((G79*(1+$A123)^1)*G80)-G81)*(1-G84))+G81+(G82*(G79*(1+$A123)^1)/G79)+(G83*(G79*(1+$A123)^1)/G79))/(1+B$118)^1+(((((H79*(1+$A123)^2)*H80)-H81)*(1-H84))+H81+(H82*(H79*(1+$A123)^2)/H79)+(H83*(H79*(1+$A123)^2)/H79))/(1+B$118)^2+(((((I79*(1+$A123)^3)*I80)-I81)*(1-I84))+I81+(I82*(I79*(1+$A123)^3)/I79)+(I83*(I79*(1+$A123)^3)/I79))/(1+B$118)^3+(((((J79*(1+$A123)^4)*J80)-J81)*(1-J84))+J81+(J82*(J79*(1+$A123)^4)/J79)+(J83*(J79*(1+$A123)^4)/J79))/(1+B$118)^4+(((((K79*(1+$A123)^5)*K80)-K81)*(1-K84))+K81+(K82*(K79*(1+$A123)^5)/K79)+(K83*(K79*(1+$A123)^5)/K79))/(1+B$118)^5+(((((L79*(1+$A123)^6)*L80)-L81)*(1-L84))+L81+(L82*(L79*(1+$A123)^6)/L79)+(L83*(L79*(1+$A123)^6)/L79))/(1+B$118)^6+(((((M79*(1+$A123)^7)*M80)-M81)*(1-M84))+M81+(M82*(M79*(1+$A123)^7)/M79)+(M83*(M79*(1+$A123)^7)/M79))/(1+B$118)^7+(((((((M79*(1+$A123)^7)*M80)-M81)*(1-M84))+M81+(M82*(M79*(1+$A123)^7)/M79)+(M83*(M79*(1+$A123)^7)/M79))*(1+$B$46))/(B$118-$B$46))/(1+B$118)^7)-$B$17-$B$19+$B$18)/$B$69</f>
        <v>181.825723637823</v>
      </c>
      <c r="C123" s="113" t="n">
        <f aca="false">(((((((G79*(1+$A123)^1)*G80)-G81)*(1-G84))+G81+(G82*(G79*(1+$A123)^1)/G79)+(G83*(G79*(1+$A123)^1)/G79))/(1+C$118)^1+(((((H79*(1+$A123)^2)*H80)-H81)*(1-H84))+H81+(H82*(H79*(1+$A123)^2)/H79)+(H83*(H79*(1+$A123)^2)/H79))/(1+C$118)^2+(((((I79*(1+$A123)^3)*I80)-I81)*(1-I84))+I81+(I82*(I79*(1+$A123)^3)/I79)+(I83*(I79*(1+$A123)^3)/I79))/(1+C$118)^3+(((((J79*(1+$A123)^4)*J80)-J81)*(1-J84))+J81+(J82*(J79*(1+$A123)^4)/J79)+(J83*(J79*(1+$A123)^4)/J79))/(1+C$118)^4+(((((K79*(1+$A123)^5)*K80)-K81)*(1-K84))+K81+(K82*(K79*(1+$A123)^5)/K79)+(K83*(K79*(1+$A123)^5)/K79))/(1+C$118)^5+(((((L79*(1+$A123)^6)*L80)-L81)*(1-L84))+L81+(L82*(L79*(1+$A123)^6)/L79)+(L83*(L79*(1+$A123)^6)/L79))/(1+C$118)^6+(((((M79*(1+$A123)^7)*M80)-M81)*(1-M84))+M81+(M82*(M79*(1+$A123)^7)/M79)+(M83*(M79*(1+$A123)^7)/M79))/(1+C$118)^7+(((((((M79*(1+$A123)^7)*M80)-M81)*(1-M84))+M81+(M82*(M79*(1+$A123)^7)/M79)+(M83*(M79*(1+$A123)^7)/M79))*(1+$B$46))/(C$118-$B$46))/(1+C$118)^7)-$B$17-$B$19+$B$18)/$B$69</f>
        <v>157.901413167441</v>
      </c>
      <c r="D123" s="113" t="n">
        <f aca="false">(((((((G79*(1+$A123)^1)*G80)-G81)*(1-G84))+G81+(G82*(G79*(1+$A123)^1)/G79)+(G83*(G79*(1+$A123)^1)/G79))/(1+D$118)^1+(((((H79*(1+$A123)^2)*H80)-H81)*(1-H84))+H81+(H82*(H79*(1+$A123)^2)/H79)+(H83*(H79*(1+$A123)^2)/H79))/(1+D$118)^2+(((((I79*(1+$A123)^3)*I80)-I81)*(1-I84))+I81+(I82*(I79*(1+$A123)^3)/I79)+(I83*(I79*(1+$A123)^3)/I79))/(1+D$118)^3+(((((J79*(1+$A123)^4)*J80)-J81)*(1-J84))+J81+(J82*(J79*(1+$A123)^4)/J79)+(J83*(J79*(1+$A123)^4)/J79))/(1+D$118)^4+(((((K79*(1+$A123)^5)*K80)-K81)*(1-K84))+K81+(K82*(K79*(1+$A123)^5)/K79)+(K83*(K79*(1+$A123)^5)/K79))/(1+D$118)^5+(((((L79*(1+$A123)^6)*L80)-L81)*(1-L84))+L81+(L82*(L79*(1+$A123)^6)/L79)+(L83*(L79*(1+$A123)^6)/L79))/(1+D$118)^6+(((((M79*(1+$A123)^7)*M80)-M81)*(1-M84))+M81+(M82*(M79*(1+$A123)^7)/M79)+(M83*(M79*(1+$A123)^7)/M79))/(1+D$118)^7+(((((((M79*(1+$A123)^7)*M80)-M81)*(1-M84))+M81+(M82*(M79*(1+$A123)^7)/M79)+(M83*(M79*(1+$A123)^7)/M79))*(1+$B$46))/(D$118-$B$46))/(1+D$118)^7)-$B$17-$B$19+$B$18)/$B$69</f>
        <v>138.830700071839</v>
      </c>
      <c r="E123" s="113" t="n">
        <f aca="false">(((((((G79*(1+$A123)^1)*G80)-G81)*(1-G84))+G81+(G82*(G79*(1+$A123)^1)/G79)+(G83*(G79*(1+$A123)^1)/G79))/(1+E$118)^1+(((((H79*(1+$A123)^2)*H80)-H81)*(1-H84))+H81+(H82*(H79*(1+$A123)^2)/H79)+(H83*(H79*(1+$A123)^2)/H79))/(1+E$118)^2+(((((I79*(1+$A123)^3)*I80)-I81)*(1-I84))+I81+(I82*(I79*(1+$A123)^3)/I79)+(I83*(I79*(1+$A123)^3)/I79))/(1+E$118)^3+(((((J79*(1+$A123)^4)*J80)-J81)*(1-J84))+J81+(J82*(J79*(1+$A123)^4)/J79)+(J83*(J79*(1+$A123)^4)/J79))/(1+E$118)^4+(((((K79*(1+$A123)^5)*K80)-K81)*(1-K84))+K81+(K82*(K79*(1+$A123)^5)/K79)+(K83*(K79*(1+$A123)^5)/K79))/(1+E$118)^5+(((((L79*(1+$A123)^6)*L80)-L81)*(1-L84))+L81+(L82*(L79*(1+$A123)^6)/L79)+(L83*(L79*(1+$A123)^6)/L79))/(1+E$118)^6+(((((M79*(1+$A123)^7)*M80)-M81)*(1-M84))+M81+(M82*(M79*(1+$A123)^7)/M79)+(M83*(M79*(1+$A123)^7)/M79))/(1+E$118)^7+(((((((M79*(1+$A123)^7)*M80)-M81)*(1-M84))+M81+(M82*(M79*(1+$A123)^7)/M79)+(M83*(M79*(1+$A123)^7)/M79))*(1+$B$46))/(E$118-$B$46))/(1+E$118)^7)-$B$17-$B$19+$B$18)/$B$69</f>
        <v>123.27285381405</v>
      </c>
      <c r="F123" s="113" t="n">
        <f aca="false">(((((((G79*(1+$A123)^1)*G80)-G81)*(1-G84))+G81+(G82*(G79*(1+$A123)^1)/G79)+(G83*(G79*(1+$A123)^1)/G79))/(1+F$118)^1+(((((H79*(1+$A123)^2)*H80)-H81)*(1-H84))+H81+(H82*(H79*(1+$A123)^2)/H79)+(H83*(H79*(1+$A123)^2)/H79))/(1+F$118)^2+(((((I79*(1+$A123)^3)*I80)-I81)*(1-I84))+I81+(I82*(I79*(1+$A123)^3)/I79)+(I83*(I79*(1+$A123)^3)/I79))/(1+F$118)^3+(((((J79*(1+$A123)^4)*J80)-J81)*(1-J84))+J81+(J82*(J79*(1+$A123)^4)/J79)+(J83*(J79*(1+$A123)^4)/J79))/(1+F$118)^4+(((((K79*(1+$A123)^5)*K80)-K81)*(1-K84))+K81+(K82*(K79*(1+$A123)^5)/K79)+(K83*(K79*(1+$A123)^5)/K79))/(1+F$118)^5+(((((L79*(1+$A123)^6)*L80)-L81)*(1-L84))+L81+(L82*(L79*(1+$A123)^6)/L79)+(L83*(L79*(1+$A123)^6)/L79))/(1+F$118)^6+(((((M79*(1+$A123)^7)*M80)-M81)*(1-M84))+M81+(M82*(M79*(1+$A123)^7)/M79)+(M83*(M79*(1+$A123)^7)/M79))/(1+F$118)^7+(((((((M79*(1+$A123)^7)*M80)-M81)*(1-M84))+M81+(M82*(M79*(1+$A123)^7)/M79)+(M83*(M79*(1+$A123)^7)/M79))*(1+$B$46))/(F$118-$B$46))/(1+F$118)^7)-$B$17-$B$19+$B$18)/$B$69</f>
        <v>110.339310973713</v>
      </c>
    </row>
    <row r="126" customFormat="false" ht="15" hidden="false" customHeight="false" outlineLevel="0" collapsed="false">
      <c r="A126" s="16" t="s">
        <v>907</v>
      </c>
      <c r="B126" s="16"/>
      <c r="C126" s="16"/>
      <c r="D126" s="16"/>
      <c r="E126" s="16"/>
      <c r="F126" s="16"/>
      <c r="G126" s="16"/>
      <c r="H126" s="16"/>
      <c r="I126" s="16"/>
      <c r="J126" s="16"/>
      <c r="K126" s="16"/>
      <c r="L126" s="16"/>
      <c r="M126" s="16"/>
    </row>
  </sheetData>
  <mergeCells count="14">
    <mergeCell ref="A1:M1"/>
    <mergeCell ref="A2:M2"/>
    <mergeCell ref="A8:M8"/>
    <mergeCell ref="A12:M12"/>
    <mergeCell ref="A20:M20"/>
    <mergeCell ref="A36:M36"/>
    <mergeCell ref="A70:F70"/>
    <mergeCell ref="A75:M75"/>
    <mergeCell ref="A78:M78"/>
    <mergeCell ref="A87:M87"/>
    <mergeCell ref="A97:M97"/>
    <mergeCell ref="A107:M107"/>
    <mergeCell ref="A117:M117"/>
    <mergeCell ref="A126:M126"/>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3" min="2" style="0" width="14"/>
    <col collapsed="false" customWidth="true" hidden="false" outlineLevel="0" max="4" min="4" style="0" width="16"/>
    <col collapsed="false" customWidth="true" hidden="false" outlineLevel="0" max="5" min="5" style="0" width="70"/>
  </cols>
  <sheetData>
    <row r="1" customFormat="false" ht="21.75" hidden="false" customHeight="true" outlineLevel="0" collapsed="false">
      <c r="A1" s="19" t="s">
        <v>908</v>
      </c>
      <c r="B1" s="19"/>
      <c r="C1" s="19"/>
      <c r="D1" s="19"/>
      <c r="E1" s="19"/>
    </row>
    <row r="2" customFormat="false" ht="15.75" hidden="false" customHeight="true" outlineLevel="0" collapsed="false">
      <c r="A2" s="20" t="s">
        <v>909</v>
      </c>
      <c r="B2" s="20"/>
      <c r="C2" s="20"/>
      <c r="D2" s="20"/>
      <c r="E2" s="20"/>
    </row>
    <row r="4" customFormat="false" ht="26.85" hidden="false" customHeight="false" outlineLevel="0" collapsed="false">
      <c r="A4" s="31" t="s">
        <v>910</v>
      </c>
      <c r="B4" s="31" t="s">
        <v>911</v>
      </c>
      <c r="C4" s="31" t="s">
        <v>912</v>
      </c>
      <c r="D4" s="31" t="s">
        <v>913</v>
      </c>
    </row>
    <row r="5" customFormat="false" ht="15" hidden="false" customHeight="false" outlineLevel="0" collapsed="false">
      <c r="A5" s="6" t="s">
        <v>914</v>
      </c>
      <c r="B5" s="99" t="n">
        <v>83.44</v>
      </c>
      <c r="C5" s="99" t="n">
        <v>161.98</v>
      </c>
      <c r="D5" s="113" t="n">
        <f aca="false">C5-B5</f>
        <v>78.54</v>
      </c>
    </row>
    <row r="6" customFormat="false" ht="15" hidden="false" customHeight="false" outlineLevel="0" collapsed="false">
      <c r="A6" s="6" t="s">
        <v>915</v>
      </c>
      <c r="B6" s="23" t="n">
        <f aca="false">MIN(DCF!B71,DCF!C71)</f>
        <v>124.457492322313</v>
      </c>
      <c r="C6" s="23" t="n">
        <f aca="false">MAX(DCF!B71,DCF!C71)</f>
        <v>140.949445728954</v>
      </c>
      <c r="D6" s="113" t="n">
        <f aca="false">C6-B6</f>
        <v>16.491953406641</v>
      </c>
    </row>
    <row r="7" customFormat="false" ht="15" hidden="false" customHeight="false" outlineLevel="0" collapsed="false">
      <c r="A7" s="6" t="s">
        <v>916</v>
      </c>
      <c r="B7" s="23" t="n">
        <f aca="false">MIN('Trading Comps'!G28:G31)</f>
        <v>241.871970802621</v>
      </c>
      <c r="C7" s="23" t="n">
        <f aca="false">MAX('Trading Comps'!G28:G31)</f>
        <v>396.439144956069</v>
      </c>
      <c r="D7" s="113" t="n">
        <f aca="false">C7-B7</f>
        <v>154.567174153448</v>
      </c>
    </row>
    <row r="8" customFormat="false" ht="15" hidden="false" customHeight="false" outlineLevel="0" collapsed="false">
      <c r="A8" s="6" t="s">
        <v>917</v>
      </c>
      <c r="B8" s="99" t="n">
        <v>92</v>
      </c>
      <c r="C8" s="99" t="n">
        <v>180</v>
      </c>
      <c r="D8" s="113" t="n">
        <f aca="false">C8-B8</f>
        <v>88</v>
      </c>
    </row>
    <row r="9" customFormat="false" ht="15" hidden="false" customHeight="false" outlineLevel="0" collapsed="false">
      <c r="A9" s="6" t="s">
        <v>884</v>
      </c>
      <c r="B9" s="99" t="n">
        <v>158</v>
      </c>
      <c r="C9" s="99" t="n">
        <v>160</v>
      </c>
      <c r="D9" s="113" t="n">
        <f aca="false">C9-B9</f>
        <v>2</v>
      </c>
    </row>
    <row r="11" customFormat="false" ht="15.75" hidden="false" customHeight="true" outlineLevel="0" collapsed="false">
      <c r="A11" s="5" t="s">
        <v>918</v>
      </c>
      <c r="B11" s="5"/>
      <c r="C11" s="5"/>
      <c r="D11" s="5"/>
      <c r="E11" s="5"/>
    </row>
    <row r="12" customFormat="false" ht="15" hidden="false" customHeight="false" outlineLevel="0" collapsed="false">
      <c r="A12" s="16" t="s">
        <v>919</v>
      </c>
      <c r="B12" s="16"/>
      <c r="C12" s="16"/>
      <c r="D12" s="16"/>
      <c r="E12" s="16"/>
    </row>
    <row r="13" customFormat="false" ht="15" hidden="false" customHeight="false" outlineLevel="0" collapsed="false">
      <c r="A13" s="16" t="s">
        <v>920</v>
      </c>
      <c r="B13" s="16"/>
      <c r="C13" s="16"/>
      <c r="D13" s="16"/>
      <c r="E13" s="16"/>
    </row>
    <row r="14" customFormat="false" ht="15" hidden="false" customHeight="false" outlineLevel="0" collapsed="false">
      <c r="A14" s="45" t="s">
        <v>921</v>
      </c>
      <c r="B14" s="45"/>
      <c r="C14" s="45"/>
      <c r="D14" s="45"/>
      <c r="E14" s="45"/>
    </row>
    <row r="15" customFormat="false" ht="15" hidden="false" customHeight="false" outlineLevel="0" collapsed="false">
      <c r="A15" s="16" t="s">
        <v>922</v>
      </c>
      <c r="B15" s="16"/>
      <c r="C15" s="16"/>
      <c r="D15" s="16"/>
      <c r="E15" s="16"/>
    </row>
    <row r="16" customFormat="false" ht="15" hidden="false" customHeight="false" outlineLevel="0" collapsed="false">
      <c r="A16" s="16" t="s">
        <v>923</v>
      </c>
      <c r="B16" s="16"/>
      <c r="C16" s="16"/>
      <c r="D16" s="16"/>
      <c r="E16" s="16"/>
    </row>
    <row r="18" customFormat="false" ht="15.75" hidden="false" customHeight="true" outlineLevel="0" collapsed="false">
      <c r="A18" s="5" t="s">
        <v>924</v>
      </c>
      <c r="B18" s="5"/>
      <c r="C18" s="5"/>
      <c r="D18" s="5"/>
      <c r="E18" s="5"/>
    </row>
    <row r="19" customFormat="false" ht="15" hidden="false" customHeight="false" outlineLevel="0" collapsed="false">
      <c r="A19" s="16" t="s">
        <v>925</v>
      </c>
      <c r="B19" s="16"/>
      <c r="C19" s="16"/>
      <c r="D19" s="16"/>
      <c r="E19" s="16"/>
    </row>
    <row r="41" customFormat="false" ht="15" hidden="false" customHeight="false" outlineLevel="0" collapsed="false">
      <c r="A41" s="16" t="s">
        <v>926</v>
      </c>
      <c r="B41" s="16"/>
      <c r="C41" s="16"/>
      <c r="D41" s="16"/>
      <c r="E41" s="16"/>
    </row>
  </sheetData>
  <mergeCells count="9">
    <mergeCell ref="A1:E1"/>
    <mergeCell ref="A2:E2"/>
    <mergeCell ref="A12:E12"/>
    <mergeCell ref="A13:E13"/>
    <mergeCell ref="A14:E14"/>
    <mergeCell ref="A15:E15"/>
    <mergeCell ref="A16:E16"/>
    <mergeCell ref="A19:E19"/>
    <mergeCell ref="A41:E41"/>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7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6" min="2" style="0" width="15"/>
  </cols>
  <sheetData>
    <row r="1" customFormat="false" ht="21.75" hidden="false" customHeight="true" outlineLevel="0" collapsed="false">
      <c r="A1" s="19" t="s">
        <v>59</v>
      </c>
      <c r="B1" s="19"/>
      <c r="C1" s="19"/>
      <c r="D1" s="19"/>
      <c r="E1" s="19"/>
      <c r="F1" s="19"/>
    </row>
    <row r="2" customFormat="false" ht="15.75" hidden="false" customHeight="true" outlineLevel="0" collapsed="false">
      <c r="A2" s="20" t="s">
        <v>60</v>
      </c>
      <c r="B2" s="20"/>
      <c r="C2" s="20"/>
      <c r="D2" s="20"/>
      <c r="E2" s="20"/>
      <c r="F2" s="20"/>
    </row>
    <row r="4" customFormat="false" ht="15.75" hidden="false" customHeight="true" outlineLevel="0" collapsed="false">
      <c r="A4" s="5" t="s">
        <v>61</v>
      </c>
      <c r="B4" s="5"/>
      <c r="C4" s="5"/>
      <c r="D4" s="5"/>
      <c r="E4" s="5"/>
      <c r="F4" s="5"/>
    </row>
    <row r="5" customFormat="false" ht="15" hidden="false" customHeight="false" outlineLevel="0" collapsed="false">
      <c r="A5" s="21" t="s">
        <v>62</v>
      </c>
      <c r="B5" s="21"/>
      <c r="C5" s="21"/>
      <c r="D5" s="21"/>
      <c r="E5" s="21"/>
      <c r="F5" s="21"/>
    </row>
    <row r="6" customFormat="false" ht="15" hidden="false" customHeight="false" outlineLevel="0" collapsed="false">
      <c r="A6" s="21" t="s">
        <v>63</v>
      </c>
      <c r="B6" s="21"/>
      <c r="C6" s="21"/>
      <c r="D6" s="21"/>
      <c r="E6" s="21"/>
      <c r="F6" s="21"/>
    </row>
    <row r="7" customFormat="false" ht="15" hidden="false" customHeight="false" outlineLevel="0" collapsed="false">
      <c r="A7" s="21" t="s">
        <v>64</v>
      </c>
      <c r="B7" s="21"/>
      <c r="C7" s="21"/>
      <c r="D7" s="21"/>
      <c r="E7" s="21"/>
      <c r="F7" s="21"/>
    </row>
    <row r="8" customFormat="false" ht="15" hidden="false" customHeight="false" outlineLevel="0" collapsed="false">
      <c r="A8" s="21" t="s">
        <v>65</v>
      </c>
      <c r="B8" s="21"/>
      <c r="C8" s="21"/>
      <c r="D8" s="21"/>
      <c r="E8" s="21"/>
      <c r="F8" s="21"/>
    </row>
    <row r="9" customFormat="false" ht="15" hidden="false" customHeight="false" outlineLevel="0" collapsed="false">
      <c r="A9" s="21" t="s">
        <v>66</v>
      </c>
      <c r="B9" s="21"/>
      <c r="C9" s="21"/>
      <c r="D9" s="21"/>
      <c r="E9" s="21"/>
      <c r="F9" s="21"/>
    </row>
    <row r="10" customFormat="false" ht="15" hidden="false" customHeight="false" outlineLevel="0" collapsed="false">
      <c r="A10" s="21" t="s">
        <v>67</v>
      </c>
      <c r="B10" s="21"/>
      <c r="C10" s="21"/>
      <c r="D10" s="21"/>
      <c r="E10" s="21"/>
      <c r="F10" s="21"/>
    </row>
    <row r="11" customFormat="false" ht="15" hidden="false" customHeight="false" outlineLevel="0" collapsed="false">
      <c r="A11" s="21" t="s">
        <v>68</v>
      </c>
      <c r="B11" s="21"/>
      <c r="C11" s="21"/>
      <c r="D11" s="21"/>
      <c r="E11" s="21"/>
      <c r="F11" s="21"/>
    </row>
    <row r="12" customFormat="false" ht="15" hidden="false" customHeight="false" outlineLevel="0" collapsed="false">
      <c r="A12" s="21" t="s">
        <v>69</v>
      </c>
      <c r="B12" s="21"/>
      <c r="C12" s="21"/>
      <c r="D12" s="21"/>
      <c r="E12" s="21"/>
      <c r="F12" s="21"/>
    </row>
    <row r="13" customFormat="false" ht="15" hidden="false" customHeight="false" outlineLevel="0" collapsed="false">
      <c r="A13" s="21" t="s">
        <v>70</v>
      </c>
      <c r="B13" s="21"/>
      <c r="C13" s="21"/>
      <c r="D13" s="21"/>
      <c r="E13" s="21"/>
      <c r="F13" s="21"/>
    </row>
    <row r="14" customFormat="false" ht="15" hidden="false" customHeight="false" outlineLevel="0" collapsed="false">
      <c r="A14" s="21" t="s">
        <v>71</v>
      </c>
      <c r="B14" s="21"/>
      <c r="C14" s="21"/>
      <c r="D14" s="21"/>
      <c r="E14" s="21"/>
      <c r="F14" s="21"/>
    </row>
    <row r="15" customFormat="false" ht="15" hidden="false" customHeight="false" outlineLevel="0" collapsed="false">
      <c r="A15" s="21" t="s">
        <v>72</v>
      </c>
      <c r="B15" s="21"/>
      <c r="C15" s="21"/>
      <c r="D15" s="21"/>
      <c r="E15" s="21"/>
      <c r="F15" s="21"/>
    </row>
    <row r="16" customFormat="false" ht="15" hidden="false" customHeight="false" outlineLevel="0" collapsed="false">
      <c r="A16" s="21" t="s">
        <v>73</v>
      </c>
      <c r="B16" s="21"/>
      <c r="C16" s="21"/>
      <c r="D16" s="21"/>
      <c r="E16" s="21"/>
      <c r="F16" s="21"/>
    </row>
    <row r="17" customFormat="false" ht="15" hidden="false" customHeight="false" outlineLevel="0" collapsed="false">
      <c r="A17" s="21" t="s">
        <v>74</v>
      </c>
      <c r="B17" s="21"/>
      <c r="C17" s="21"/>
      <c r="D17" s="21"/>
      <c r="E17" s="21"/>
      <c r="F17" s="21"/>
    </row>
    <row r="19" customFormat="false" ht="15.75" hidden="false" customHeight="true" outlineLevel="0" collapsed="false">
      <c r="A19" s="5" t="s">
        <v>75</v>
      </c>
      <c r="B19" s="5"/>
      <c r="C19" s="5"/>
      <c r="D19" s="5"/>
      <c r="E19" s="5"/>
      <c r="F19" s="5"/>
    </row>
    <row r="20" customFormat="false" ht="15" hidden="false" customHeight="false" outlineLevel="0" collapsed="false">
      <c r="A20" s="22" t="s">
        <v>76</v>
      </c>
      <c r="B20" s="22" t="s">
        <v>77</v>
      </c>
      <c r="D20" s="22" t="s">
        <v>76</v>
      </c>
      <c r="E20" s="22" t="s">
        <v>77</v>
      </c>
    </row>
    <row r="21" customFormat="false" ht="15" hidden="false" customHeight="false" outlineLevel="0" collapsed="false">
      <c r="A21" s="6" t="s">
        <v>78</v>
      </c>
      <c r="B21" s="23" t="n">
        <f aca="false">'Trading Comps'!B5</f>
        <v>159</v>
      </c>
      <c r="D21" s="6" t="s">
        <v>79</v>
      </c>
      <c r="E21" s="24" t="n">
        <f aca="false">'Income Statement'!G7</f>
        <v>110010.971659967</v>
      </c>
    </row>
    <row r="22" customFormat="false" ht="15" hidden="false" customHeight="false" outlineLevel="0" collapsed="false">
      <c r="A22" s="6" t="s">
        <v>7</v>
      </c>
      <c r="B22" s="8" t="s">
        <v>8</v>
      </c>
      <c r="D22" s="6" t="s">
        <v>80</v>
      </c>
      <c r="E22" s="25" t="n">
        <f aca="false">'Income Statement'!G13/'Income Statement'!G7</f>
        <v>0.0537534242675667</v>
      </c>
    </row>
    <row r="23" customFormat="false" ht="15" hidden="false" customHeight="false" outlineLevel="0" collapsed="false">
      <c r="A23" s="6" t="s">
        <v>81</v>
      </c>
      <c r="B23" s="24" t="n">
        <f aca="false">DCF!B16</f>
        <v>72600</v>
      </c>
      <c r="D23" s="6" t="s">
        <v>82</v>
      </c>
      <c r="E23" s="25" t="n">
        <f aca="false">'Revenue Build'!F51</f>
        <v>-0.026</v>
      </c>
    </row>
    <row r="24" customFormat="false" ht="15" hidden="false" customHeight="false" outlineLevel="0" collapsed="false">
      <c r="A24" s="6" t="s">
        <v>17</v>
      </c>
      <c r="B24" s="26" t="n">
        <f aca="false">DCF!B25</f>
        <v>0.0743025074560951</v>
      </c>
      <c r="D24" s="6" t="s">
        <v>83</v>
      </c>
      <c r="E24" s="8" t="s">
        <v>84</v>
      </c>
    </row>
    <row r="25" customFormat="false" ht="15" hidden="false" customHeight="false" outlineLevel="0" collapsed="false">
      <c r="A25" s="6" t="s">
        <v>85</v>
      </c>
      <c r="B25" s="23" t="n">
        <f aca="false">DCF!D71</f>
        <v>132.703469025634</v>
      </c>
      <c r="D25" s="6" t="s">
        <v>86</v>
      </c>
      <c r="E25" s="24" t="n">
        <f aca="false">'PP&amp;E-Capex Schedule'!G35</f>
        <v>5000</v>
      </c>
    </row>
    <row r="26" customFormat="false" ht="15" hidden="false" customHeight="false" outlineLevel="0" collapsed="false">
      <c r="A26" s="6" t="s">
        <v>87</v>
      </c>
      <c r="B26" s="8" t="s">
        <v>88</v>
      </c>
      <c r="D26" s="6" t="s">
        <v>89</v>
      </c>
      <c r="E26" s="27" t="n">
        <f aca="false">'Historical Financials &amp; KPIs'!F59</f>
        <v>1.32929341897952</v>
      </c>
    </row>
    <row r="27" customFormat="false" ht="15" hidden="false" customHeight="false" outlineLevel="0" collapsed="false">
      <c r="A27" s="6" t="s">
        <v>90</v>
      </c>
      <c r="B27" s="23" t="n">
        <f aca="false">MIN('Trading Comps'!G28:G31)</f>
        <v>241.871970802621</v>
      </c>
      <c r="D27" s="6" t="s">
        <v>13</v>
      </c>
      <c r="E27" s="25" t="n">
        <f aca="false">1.16*4/159</f>
        <v>0.0291823899371069</v>
      </c>
    </row>
    <row r="28" customFormat="false" ht="15" hidden="false" customHeight="false" outlineLevel="0" collapsed="false">
      <c r="A28" s="6" t="s">
        <v>91</v>
      </c>
      <c r="B28" s="8" t="s">
        <v>21</v>
      </c>
      <c r="D28" s="6" t="s">
        <v>92</v>
      </c>
      <c r="E28" s="28" t="s">
        <v>93</v>
      </c>
    </row>
    <row r="30" customFormat="false" ht="15.75" hidden="false" customHeight="true" outlineLevel="0" collapsed="false">
      <c r="A30" s="5" t="s">
        <v>94</v>
      </c>
      <c r="B30" s="5"/>
      <c r="C30" s="5"/>
      <c r="D30" s="5"/>
      <c r="E30" s="5"/>
      <c r="F30" s="5"/>
    </row>
    <row r="31" customFormat="false" ht="15" hidden="false" customHeight="false" outlineLevel="0" collapsed="false">
      <c r="A31" s="29"/>
      <c r="B31" s="29" t="s">
        <v>95</v>
      </c>
      <c r="C31" s="29" t="s">
        <v>96</v>
      </c>
      <c r="D31" s="29" t="s">
        <v>97</v>
      </c>
    </row>
    <row r="32" customFormat="false" ht="15" hidden="false" customHeight="false" outlineLevel="0" collapsed="false">
      <c r="A32" s="6" t="s">
        <v>98</v>
      </c>
      <c r="B32" s="30" t="s">
        <v>99</v>
      </c>
      <c r="C32" s="30" t="s">
        <v>100</v>
      </c>
      <c r="D32" s="30" t="s">
        <v>101</v>
      </c>
    </row>
    <row r="33" customFormat="false" ht="15" hidden="false" customHeight="false" outlineLevel="0" collapsed="false">
      <c r="A33" s="6" t="s">
        <v>102</v>
      </c>
      <c r="B33" s="30" t="s">
        <v>103</v>
      </c>
      <c r="C33" s="30" t="s">
        <v>104</v>
      </c>
      <c r="D33" s="30" t="s">
        <v>105</v>
      </c>
    </row>
    <row r="34" customFormat="false" ht="15" hidden="false" customHeight="false" outlineLevel="0" collapsed="false">
      <c r="A34" s="6" t="s">
        <v>106</v>
      </c>
      <c r="B34" s="30" t="s">
        <v>107</v>
      </c>
      <c r="C34" s="30" t="s">
        <v>108</v>
      </c>
      <c r="D34" s="30" t="s">
        <v>109</v>
      </c>
    </row>
    <row r="35" customFormat="false" ht="15" hidden="false" customHeight="false" outlineLevel="0" collapsed="false">
      <c r="A35" s="6" t="s">
        <v>110</v>
      </c>
      <c r="B35" s="30" t="s">
        <v>111</v>
      </c>
      <c r="C35" s="30" t="s">
        <v>112</v>
      </c>
      <c r="D35" s="30" t="s">
        <v>113</v>
      </c>
    </row>
    <row r="37" customFormat="false" ht="15.75" hidden="false" customHeight="true" outlineLevel="0" collapsed="false">
      <c r="A37" s="5" t="s">
        <v>114</v>
      </c>
      <c r="B37" s="5"/>
      <c r="C37" s="5"/>
      <c r="D37" s="5"/>
      <c r="E37" s="5"/>
      <c r="F37" s="5"/>
    </row>
    <row r="38" customFormat="false" ht="15" hidden="false" customHeight="false" outlineLevel="0" collapsed="false">
      <c r="A38" s="21" t="s">
        <v>115</v>
      </c>
      <c r="B38" s="21"/>
      <c r="C38" s="21"/>
      <c r="D38" s="21"/>
      <c r="E38" s="21"/>
      <c r="F38" s="21"/>
    </row>
    <row r="39" customFormat="false" ht="15" hidden="false" customHeight="false" outlineLevel="0" collapsed="false">
      <c r="A39" s="21" t="s">
        <v>116</v>
      </c>
      <c r="B39" s="21"/>
      <c r="C39" s="21"/>
      <c r="D39" s="21"/>
      <c r="E39" s="21"/>
      <c r="F39" s="21"/>
    </row>
    <row r="40" customFormat="false" ht="15" hidden="false" customHeight="false" outlineLevel="0" collapsed="false">
      <c r="A40" s="21" t="s">
        <v>117</v>
      </c>
      <c r="B40" s="21"/>
      <c r="C40" s="21"/>
      <c r="D40" s="21"/>
      <c r="E40" s="21"/>
      <c r="F40" s="21"/>
    </row>
    <row r="41" customFormat="false" ht="15" hidden="false" customHeight="false" outlineLevel="0" collapsed="false">
      <c r="A41" s="21" t="s">
        <v>118</v>
      </c>
      <c r="B41" s="21"/>
      <c r="C41" s="21"/>
      <c r="D41" s="21"/>
      <c r="E41" s="21"/>
      <c r="F41" s="21"/>
    </row>
    <row r="42" customFormat="false" ht="15" hidden="false" customHeight="false" outlineLevel="0" collapsed="false">
      <c r="A42" s="21" t="s">
        <v>119</v>
      </c>
      <c r="B42" s="21"/>
      <c r="C42" s="21"/>
      <c r="D42" s="21"/>
      <c r="E42" s="21"/>
      <c r="F42" s="21"/>
    </row>
    <row r="43" customFormat="false" ht="15" hidden="false" customHeight="false" outlineLevel="0" collapsed="false">
      <c r="A43" s="21" t="s">
        <v>120</v>
      </c>
      <c r="B43" s="21"/>
      <c r="C43" s="21"/>
      <c r="D43" s="21"/>
      <c r="E43" s="21"/>
      <c r="F43" s="21"/>
    </row>
    <row r="44" customFormat="false" ht="15" hidden="false" customHeight="false" outlineLevel="0" collapsed="false">
      <c r="A44" s="21" t="s">
        <v>121</v>
      </c>
      <c r="B44" s="21"/>
      <c r="C44" s="21"/>
      <c r="D44" s="21"/>
      <c r="E44" s="21"/>
      <c r="F44" s="21"/>
    </row>
    <row r="45" customFormat="false" ht="15" hidden="false" customHeight="false" outlineLevel="0" collapsed="false">
      <c r="A45" s="21" t="s">
        <v>122</v>
      </c>
      <c r="B45" s="21"/>
      <c r="C45" s="21"/>
      <c r="D45" s="21"/>
      <c r="E45" s="21"/>
      <c r="F45" s="21"/>
    </row>
    <row r="46" customFormat="false" ht="15" hidden="false" customHeight="false" outlineLevel="0" collapsed="false">
      <c r="A46" s="21" t="s">
        <v>123</v>
      </c>
      <c r="B46" s="21"/>
      <c r="C46" s="21"/>
      <c r="D46" s="21"/>
      <c r="E46" s="21"/>
      <c r="F46" s="21"/>
    </row>
    <row r="47" customFormat="false" ht="15" hidden="false" customHeight="false" outlineLevel="0" collapsed="false">
      <c r="A47" s="21" t="s">
        <v>124</v>
      </c>
      <c r="B47" s="21"/>
      <c r="C47" s="21"/>
      <c r="D47" s="21"/>
      <c r="E47" s="21"/>
      <c r="F47" s="21"/>
    </row>
    <row r="48" customFormat="false" ht="15" hidden="false" customHeight="false" outlineLevel="0" collapsed="false">
      <c r="A48" s="21" t="s">
        <v>125</v>
      </c>
      <c r="B48" s="21"/>
      <c r="C48" s="21"/>
      <c r="D48" s="21"/>
      <c r="E48" s="21"/>
      <c r="F48" s="21"/>
    </row>
    <row r="49" customFormat="false" ht="15" hidden="false" customHeight="false" outlineLevel="0" collapsed="false">
      <c r="A49" s="21" t="s">
        <v>126</v>
      </c>
      <c r="B49" s="21"/>
      <c r="C49" s="21"/>
      <c r="D49" s="21"/>
      <c r="E49" s="21"/>
      <c r="F49" s="21"/>
    </row>
    <row r="50" customFormat="false" ht="15" hidden="false" customHeight="false" outlineLevel="0" collapsed="false">
      <c r="A50" s="21" t="s">
        <v>127</v>
      </c>
      <c r="B50" s="21"/>
      <c r="C50" s="21"/>
      <c r="D50" s="21"/>
      <c r="E50" s="21"/>
      <c r="F50" s="21"/>
    </row>
    <row r="52" customFormat="false" ht="15.75" hidden="false" customHeight="true" outlineLevel="0" collapsed="false">
      <c r="A52" s="5" t="s">
        <v>128</v>
      </c>
      <c r="B52" s="5"/>
      <c r="C52" s="5"/>
      <c r="D52" s="5"/>
      <c r="E52" s="5"/>
      <c r="F52" s="5"/>
    </row>
    <row r="53" customFormat="false" ht="15" hidden="false" customHeight="false" outlineLevel="0" collapsed="false">
      <c r="A53" s="21" t="s">
        <v>129</v>
      </c>
      <c r="B53" s="21"/>
      <c r="C53" s="21"/>
      <c r="D53" s="21"/>
      <c r="E53" s="21"/>
      <c r="F53" s="21"/>
    </row>
    <row r="54" customFormat="false" ht="15" hidden="false" customHeight="false" outlineLevel="0" collapsed="false">
      <c r="A54" s="21" t="s">
        <v>130</v>
      </c>
      <c r="B54" s="21"/>
      <c r="C54" s="21"/>
      <c r="D54" s="21"/>
      <c r="E54" s="21"/>
      <c r="F54" s="21"/>
    </row>
    <row r="55" customFormat="false" ht="15" hidden="false" customHeight="false" outlineLevel="0" collapsed="false">
      <c r="A55" s="21" t="s">
        <v>131</v>
      </c>
      <c r="B55" s="21"/>
      <c r="C55" s="21"/>
      <c r="D55" s="21"/>
      <c r="E55" s="21"/>
      <c r="F55" s="21"/>
    </row>
    <row r="56" customFormat="false" ht="15" hidden="false" customHeight="false" outlineLevel="0" collapsed="false">
      <c r="A56" s="21" t="s">
        <v>132</v>
      </c>
      <c r="B56" s="21"/>
      <c r="C56" s="21"/>
      <c r="D56" s="21"/>
      <c r="E56" s="21"/>
      <c r="F56" s="21"/>
    </row>
    <row r="57" customFormat="false" ht="15" hidden="false" customHeight="false" outlineLevel="0" collapsed="false">
      <c r="A57" s="21" t="s">
        <v>133</v>
      </c>
      <c r="B57" s="21"/>
      <c r="C57" s="21"/>
      <c r="D57" s="21"/>
      <c r="E57" s="21"/>
      <c r="F57" s="21"/>
    </row>
    <row r="58" customFormat="false" ht="15" hidden="false" customHeight="false" outlineLevel="0" collapsed="false">
      <c r="A58" s="21" t="s">
        <v>134</v>
      </c>
      <c r="B58" s="21"/>
      <c r="C58" s="21"/>
      <c r="D58" s="21"/>
      <c r="E58" s="21"/>
      <c r="F58" s="21"/>
    </row>
    <row r="59" customFormat="false" ht="15" hidden="false" customHeight="false" outlineLevel="0" collapsed="false">
      <c r="A59" s="21" t="s">
        <v>135</v>
      </c>
      <c r="B59" s="21"/>
      <c r="C59" s="21"/>
      <c r="D59" s="21"/>
      <c r="E59" s="21"/>
      <c r="F59" s="21"/>
    </row>
    <row r="60" customFormat="false" ht="15" hidden="false" customHeight="false" outlineLevel="0" collapsed="false">
      <c r="A60" s="21" t="s">
        <v>136</v>
      </c>
      <c r="B60" s="21"/>
      <c r="C60" s="21"/>
      <c r="D60" s="21"/>
      <c r="E60" s="21"/>
      <c r="F60" s="21"/>
    </row>
    <row r="61" customFormat="false" ht="15" hidden="false" customHeight="false" outlineLevel="0" collapsed="false">
      <c r="A61" s="21" t="s">
        <v>137</v>
      </c>
      <c r="B61" s="21"/>
      <c r="C61" s="21"/>
      <c r="D61" s="21"/>
      <c r="E61" s="21"/>
      <c r="F61" s="21"/>
    </row>
    <row r="62" customFormat="false" ht="15" hidden="false" customHeight="false" outlineLevel="0" collapsed="false">
      <c r="A62" s="21" t="s">
        <v>138</v>
      </c>
      <c r="B62" s="21"/>
      <c r="C62" s="21"/>
      <c r="D62" s="21"/>
      <c r="E62" s="21"/>
      <c r="F62" s="21"/>
    </row>
    <row r="63" customFormat="false" ht="15" hidden="false" customHeight="false" outlineLevel="0" collapsed="false">
      <c r="A63" s="21" t="s">
        <v>139</v>
      </c>
      <c r="B63" s="21"/>
      <c r="C63" s="21"/>
      <c r="D63" s="21"/>
      <c r="E63" s="21"/>
      <c r="F63" s="21"/>
    </row>
    <row r="64" customFormat="false" ht="15" hidden="false" customHeight="false" outlineLevel="0" collapsed="false">
      <c r="A64" s="21" t="s">
        <v>140</v>
      </c>
      <c r="B64" s="21"/>
      <c r="C64" s="21"/>
      <c r="D64" s="21"/>
      <c r="E64" s="21"/>
      <c r="F64" s="21"/>
    </row>
    <row r="65" customFormat="false" ht="15" hidden="false" customHeight="false" outlineLevel="0" collapsed="false">
      <c r="A65" s="21" t="s">
        <v>141</v>
      </c>
      <c r="B65" s="21"/>
      <c r="C65" s="21"/>
      <c r="D65" s="21"/>
      <c r="E65" s="21"/>
      <c r="F65" s="21"/>
    </row>
    <row r="67" customFormat="false" ht="15.75" hidden="false" customHeight="true" outlineLevel="0" collapsed="false">
      <c r="A67" s="5" t="s">
        <v>142</v>
      </c>
      <c r="B67" s="5"/>
      <c r="C67" s="5"/>
      <c r="D67" s="5"/>
      <c r="E67" s="5"/>
      <c r="F67" s="5"/>
    </row>
    <row r="68" customFormat="false" ht="15" hidden="false" customHeight="false" outlineLevel="0" collapsed="false">
      <c r="A68" s="21" t="s">
        <v>143</v>
      </c>
      <c r="B68" s="21"/>
      <c r="C68" s="21"/>
      <c r="D68" s="21"/>
      <c r="E68" s="21"/>
      <c r="F68" s="21"/>
    </row>
    <row r="69" customFormat="false" ht="15" hidden="false" customHeight="false" outlineLevel="0" collapsed="false">
      <c r="A69" s="21" t="s">
        <v>144</v>
      </c>
      <c r="B69" s="21"/>
      <c r="C69" s="21"/>
      <c r="D69" s="21"/>
      <c r="E69" s="21"/>
      <c r="F69" s="21"/>
    </row>
    <row r="70" customFormat="false" ht="15" hidden="false" customHeight="false" outlineLevel="0" collapsed="false">
      <c r="A70" s="21" t="s">
        <v>145</v>
      </c>
      <c r="B70" s="21"/>
      <c r="C70" s="21"/>
      <c r="D70" s="21"/>
      <c r="E70" s="21"/>
      <c r="F70" s="21"/>
    </row>
    <row r="71" customFormat="false" ht="15" hidden="false" customHeight="false" outlineLevel="0" collapsed="false">
      <c r="A71" s="21" t="s">
        <v>146</v>
      </c>
      <c r="B71" s="21"/>
      <c r="C71" s="21"/>
      <c r="D71" s="21"/>
      <c r="E71" s="21"/>
      <c r="F71" s="21"/>
    </row>
    <row r="72" customFormat="false" ht="15" hidden="false" customHeight="false" outlineLevel="0" collapsed="false">
      <c r="A72" s="21" t="s">
        <v>147</v>
      </c>
      <c r="B72" s="21"/>
      <c r="C72" s="21"/>
      <c r="D72" s="21"/>
      <c r="E72" s="21"/>
      <c r="F72" s="21"/>
    </row>
    <row r="73" customFormat="false" ht="15" hidden="false" customHeight="false" outlineLevel="0" collapsed="false">
      <c r="A73" s="21" t="s">
        <v>148</v>
      </c>
      <c r="B73" s="21"/>
      <c r="C73" s="21"/>
      <c r="D73" s="21"/>
      <c r="E73" s="21"/>
      <c r="F73" s="21"/>
    </row>
    <row r="74" customFormat="false" ht="15" hidden="false" customHeight="false" outlineLevel="0" collapsed="false">
      <c r="A74" s="21" t="s">
        <v>149</v>
      </c>
      <c r="B74" s="21"/>
      <c r="C74" s="21"/>
      <c r="D74" s="21"/>
      <c r="E74" s="21"/>
      <c r="F74" s="21"/>
    </row>
    <row r="75" customFormat="false" ht="15" hidden="false" customHeight="false" outlineLevel="0" collapsed="false">
      <c r="A75" s="21" t="s">
        <v>150</v>
      </c>
      <c r="B75" s="21"/>
      <c r="C75" s="21"/>
      <c r="D75" s="21"/>
      <c r="E75" s="21"/>
      <c r="F75" s="21"/>
    </row>
    <row r="76" customFormat="false" ht="15" hidden="false" customHeight="false" outlineLevel="0" collapsed="false">
      <c r="A76" s="21" t="s">
        <v>151</v>
      </c>
      <c r="B76" s="21"/>
      <c r="C76" s="21"/>
      <c r="D76" s="21"/>
      <c r="E76" s="21"/>
      <c r="F76" s="21"/>
    </row>
    <row r="77" customFormat="false" ht="15" hidden="false" customHeight="false" outlineLevel="0" collapsed="false">
      <c r="A77" s="21" t="s">
        <v>152</v>
      </c>
      <c r="B77" s="21"/>
      <c r="C77" s="21"/>
      <c r="D77" s="21"/>
      <c r="E77" s="21"/>
      <c r="F77" s="21"/>
    </row>
    <row r="78" customFormat="false" ht="15" hidden="false" customHeight="false" outlineLevel="0" collapsed="false">
      <c r="A78" s="21" t="s">
        <v>153</v>
      </c>
      <c r="B78" s="21"/>
      <c r="C78" s="21"/>
      <c r="D78" s="21"/>
      <c r="E78" s="21"/>
      <c r="F78" s="21"/>
    </row>
    <row r="79" customFormat="false" ht="15" hidden="false" customHeight="false" outlineLevel="0" collapsed="false">
      <c r="A79" s="21" t="s">
        <v>154</v>
      </c>
      <c r="B79" s="21"/>
      <c r="C79" s="21"/>
      <c r="D79" s="21"/>
      <c r="E79" s="21"/>
      <c r="F79" s="21"/>
    </row>
  </sheetData>
  <mergeCells count="53">
    <mergeCell ref="A1:F1"/>
    <mergeCell ref="A2:F2"/>
    <mergeCell ref="A5:F5"/>
    <mergeCell ref="A6:F6"/>
    <mergeCell ref="A7:F7"/>
    <mergeCell ref="A8:F8"/>
    <mergeCell ref="A9:F9"/>
    <mergeCell ref="A10:F10"/>
    <mergeCell ref="A11:F11"/>
    <mergeCell ref="A12:F12"/>
    <mergeCell ref="A13:F13"/>
    <mergeCell ref="A14:F14"/>
    <mergeCell ref="A15:F15"/>
    <mergeCell ref="A16:F16"/>
    <mergeCell ref="A17:F17"/>
    <mergeCell ref="A38:F38"/>
    <mergeCell ref="A39:F39"/>
    <mergeCell ref="A40:F40"/>
    <mergeCell ref="A41:F41"/>
    <mergeCell ref="A42:F42"/>
    <mergeCell ref="A43:F43"/>
    <mergeCell ref="A44:F44"/>
    <mergeCell ref="A45:F45"/>
    <mergeCell ref="A46:F46"/>
    <mergeCell ref="A47:F47"/>
    <mergeCell ref="A48:F48"/>
    <mergeCell ref="A49:F49"/>
    <mergeCell ref="A50:F50"/>
    <mergeCell ref="A53:F53"/>
    <mergeCell ref="A54:F54"/>
    <mergeCell ref="A55:F55"/>
    <mergeCell ref="A56:F56"/>
    <mergeCell ref="A57:F57"/>
    <mergeCell ref="A58:F58"/>
    <mergeCell ref="A59:F59"/>
    <mergeCell ref="A60:F60"/>
    <mergeCell ref="A61:F61"/>
    <mergeCell ref="A62:F62"/>
    <mergeCell ref="A63:F63"/>
    <mergeCell ref="A64:F64"/>
    <mergeCell ref="A65:F65"/>
    <mergeCell ref="A68:F68"/>
    <mergeCell ref="A69:F69"/>
    <mergeCell ref="A70:F70"/>
    <mergeCell ref="A71:F71"/>
    <mergeCell ref="A72:F72"/>
    <mergeCell ref="A73:F73"/>
    <mergeCell ref="A74:F74"/>
    <mergeCell ref="A75:F75"/>
    <mergeCell ref="A76:F76"/>
    <mergeCell ref="A77:F77"/>
    <mergeCell ref="A78:F78"/>
    <mergeCell ref="A79:F79"/>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13" min="2" style="0" width="12"/>
  </cols>
  <sheetData>
    <row r="1" customFormat="false" ht="21.75" hidden="false" customHeight="true" outlineLevel="0" collapsed="false">
      <c r="A1" s="19" t="s">
        <v>927</v>
      </c>
      <c r="B1" s="19"/>
      <c r="C1" s="19"/>
      <c r="D1" s="19"/>
      <c r="E1" s="19"/>
      <c r="F1" s="19"/>
      <c r="G1" s="19"/>
      <c r="H1" s="19"/>
      <c r="I1" s="19"/>
      <c r="J1" s="19"/>
      <c r="K1" s="19"/>
      <c r="L1" s="19"/>
      <c r="M1" s="19"/>
    </row>
    <row r="2" customFormat="false" ht="15.75" hidden="false" customHeight="true" outlineLevel="0" collapsed="false">
      <c r="A2" s="20" t="s">
        <v>928</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929</v>
      </c>
      <c r="B7" s="5"/>
      <c r="C7" s="5"/>
      <c r="D7" s="5"/>
      <c r="E7" s="5"/>
      <c r="F7" s="5"/>
      <c r="G7" s="5"/>
      <c r="H7" s="5"/>
      <c r="I7" s="5"/>
      <c r="J7" s="5"/>
      <c r="K7" s="5"/>
      <c r="L7" s="5"/>
      <c r="M7" s="5"/>
    </row>
    <row r="8" customFormat="false" ht="15" hidden="false" customHeight="false" outlineLevel="0" collapsed="false">
      <c r="A8" s="37" t="s">
        <v>930</v>
      </c>
      <c r="B8" s="117" t="b">
        <f aca="false">ABS('Balance Sheet'!B16-'Balance Sheet'!B42)&lt;0.01</f>
        <v>1</v>
      </c>
      <c r="C8" s="117" t="b">
        <f aca="false">ABS('Balance Sheet'!C16-'Balance Sheet'!C42)&lt;0.01</f>
        <v>1</v>
      </c>
      <c r="D8" s="117" t="b">
        <f aca="false">ABS('Balance Sheet'!D16-'Balance Sheet'!D42)&lt;0.01</f>
        <v>1</v>
      </c>
      <c r="E8" s="117" t="b">
        <f aca="false">ABS('Balance Sheet'!E16-'Balance Sheet'!E42)&lt;0.01</f>
        <v>1</v>
      </c>
      <c r="F8" s="117" t="b">
        <f aca="false">ABS('Balance Sheet'!F16-'Balance Sheet'!F42)&lt;0.01</f>
        <v>1</v>
      </c>
      <c r="G8" s="117" t="b">
        <f aca="false">ABS('Balance Sheet'!G16-'Balance Sheet'!G42)&lt;0.01</f>
        <v>1</v>
      </c>
      <c r="H8" s="117" t="b">
        <f aca="false">ABS('Balance Sheet'!H16-'Balance Sheet'!H42)&lt;0.01</f>
        <v>1</v>
      </c>
      <c r="I8" s="117" t="b">
        <f aca="false">ABS('Balance Sheet'!I16-'Balance Sheet'!I42)&lt;0.01</f>
        <v>1</v>
      </c>
      <c r="J8" s="117" t="b">
        <f aca="false">ABS('Balance Sheet'!J16-'Balance Sheet'!J42)&lt;0.01</f>
        <v>1</v>
      </c>
      <c r="K8" s="117" t="b">
        <f aca="false">ABS('Balance Sheet'!K16-'Balance Sheet'!K42)&lt;0.01</f>
        <v>1</v>
      </c>
      <c r="L8" s="117" t="b">
        <f aca="false">ABS('Balance Sheet'!L16-'Balance Sheet'!L42)&lt;0.01</f>
        <v>1</v>
      </c>
      <c r="M8" s="117" t="b">
        <f aca="false">ABS('Balance Sheet'!M16-'Balance Sheet'!M42)&lt;0.01</f>
        <v>1</v>
      </c>
    </row>
    <row r="9" customFormat="false" ht="15" hidden="false" customHeight="false" outlineLevel="0" collapsed="false">
      <c r="A9" s="38" t="s">
        <v>931</v>
      </c>
      <c r="B9" s="73" t="n">
        <f aca="false">'Balance Sheet'!B16-'Balance Sheet'!B42</f>
        <v>0</v>
      </c>
      <c r="C9" s="73" t="n">
        <f aca="false">'Balance Sheet'!C16-'Balance Sheet'!C42</f>
        <v>0</v>
      </c>
      <c r="D9" s="73" t="n">
        <f aca="false">'Balance Sheet'!D16-'Balance Sheet'!D42</f>
        <v>0</v>
      </c>
      <c r="E9" s="73" t="n">
        <f aca="false">'Balance Sheet'!E16-'Balance Sheet'!E42</f>
        <v>0</v>
      </c>
      <c r="F9" s="73" t="n">
        <f aca="false">'Balance Sheet'!F16-'Balance Sheet'!F42</f>
        <v>0</v>
      </c>
      <c r="G9" s="73" t="n">
        <f aca="false">'Balance Sheet'!G16-'Balance Sheet'!G42</f>
        <v>0</v>
      </c>
      <c r="H9" s="73" t="n">
        <f aca="false">'Balance Sheet'!H16-'Balance Sheet'!H42</f>
        <v>0</v>
      </c>
      <c r="I9" s="73" t="n">
        <f aca="false">'Balance Sheet'!I16-'Balance Sheet'!I42</f>
        <v>0</v>
      </c>
      <c r="J9" s="73" t="n">
        <f aca="false">'Balance Sheet'!J16-'Balance Sheet'!J42</f>
        <v>0</v>
      </c>
      <c r="K9" s="73" t="n">
        <f aca="false">'Balance Sheet'!K16-'Balance Sheet'!K42</f>
        <v>0</v>
      </c>
      <c r="L9" s="73" t="n">
        <f aca="false">'Balance Sheet'!L16-'Balance Sheet'!L42</f>
        <v>0</v>
      </c>
      <c r="M9" s="73" t="n">
        <f aca="false">'Balance Sheet'!M16-'Balance Sheet'!M42</f>
        <v>0</v>
      </c>
    </row>
    <row r="11" customFormat="false" ht="15.75" hidden="false" customHeight="true" outlineLevel="0" collapsed="false">
      <c r="A11" s="5" t="s">
        <v>932</v>
      </c>
      <c r="B11" s="5"/>
      <c r="C11" s="5"/>
      <c r="D11" s="5"/>
      <c r="E11" s="5"/>
      <c r="F11" s="5"/>
      <c r="G11" s="5"/>
      <c r="H11" s="5"/>
      <c r="I11" s="5"/>
      <c r="J11" s="5"/>
      <c r="K11" s="5"/>
      <c r="L11" s="5"/>
      <c r="M11" s="5"/>
    </row>
    <row r="12" customFormat="false" ht="15" hidden="false" customHeight="false" outlineLevel="0" collapsed="false">
      <c r="A12" s="37" t="s">
        <v>933</v>
      </c>
      <c r="B12" s="117" t="b">
        <f aca="false">ABS('Balance Sheet'!B8-'Cash Flow Statement'!B27)&lt;0.01</f>
        <v>1</v>
      </c>
      <c r="C12" s="117" t="b">
        <f aca="false">ABS('Balance Sheet'!C8-'Cash Flow Statement'!C27)&lt;0.01</f>
        <v>1</v>
      </c>
      <c r="D12" s="117" t="b">
        <f aca="false">ABS('Balance Sheet'!D8-'Cash Flow Statement'!D27)&lt;0.01</f>
        <v>1</v>
      </c>
      <c r="E12" s="117" t="b">
        <f aca="false">ABS('Balance Sheet'!E8-'Cash Flow Statement'!E27)&lt;0.01</f>
        <v>1</v>
      </c>
      <c r="F12" s="117" t="b">
        <f aca="false">ABS('Balance Sheet'!F8-'Cash Flow Statement'!F27)&lt;0.01</f>
        <v>1</v>
      </c>
      <c r="G12" s="117" t="b">
        <f aca="false">ABS('Balance Sheet'!G8-'Cash Flow Statement'!G27)&lt;0.01</f>
        <v>1</v>
      </c>
      <c r="H12" s="117" t="b">
        <f aca="false">ABS('Balance Sheet'!H8-'Cash Flow Statement'!H27)&lt;0.01</f>
        <v>1</v>
      </c>
      <c r="I12" s="117" t="b">
        <f aca="false">ABS('Balance Sheet'!I8-'Cash Flow Statement'!I27)&lt;0.01</f>
        <v>1</v>
      </c>
      <c r="J12" s="117" t="b">
        <f aca="false">ABS('Balance Sheet'!J8-'Cash Flow Statement'!J27)&lt;0.01</f>
        <v>1</v>
      </c>
      <c r="K12" s="117" t="b">
        <f aca="false">ABS('Balance Sheet'!K8-'Cash Flow Statement'!K27)&lt;0.01</f>
        <v>1</v>
      </c>
      <c r="L12" s="117" t="b">
        <f aca="false">ABS('Balance Sheet'!L8-'Cash Flow Statement'!L27)&lt;0.01</f>
        <v>1</v>
      </c>
      <c r="M12" s="117" t="b">
        <f aca="false">ABS('Balance Sheet'!M8-'Cash Flow Statement'!M27)&lt;0.01</f>
        <v>1</v>
      </c>
    </row>
    <row r="14" customFormat="false" ht="15.75" hidden="false" customHeight="true" outlineLevel="0" collapsed="false">
      <c r="A14" s="5" t="s">
        <v>934</v>
      </c>
      <c r="B14" s="5"/>
      <c r="C14" s="5"/>
      <c r="D14" s="5"/>
      <c r="E14" s="5"/>
      <c r="F14" s="5"/>
      <c r="G14" s="5"/>
      <c r="H14" s="5"/>
      <c r="I14" s="5"/>
      <c r="J14" s="5"/>
      <c r="K14" s="5"/>
      <c r="L14" s="5"/>
      <c r="M14" s="5"/>
    </row>
    <row r="15" customFormat="false" ht="15" hidden="false" customHeight="false" outlineLevel="0" collapsed="false">
      <c r="A15" s="37" t="s">
        <v>935</v>
      </c>
      <c r="G15" s="117" t="b">
        <f aca="false">ABS('Cash Flow Statement'!G27-'Cash Flow Statement'!G26-'Cash Flow Statement'!G25)&lt;0.01</f>
        <v>1</v>
      </c>
      <c r="H15" s="117" t="b">
        <f aca="false">ABS('Cash Flow Statement'!H27-'Cash Flow Statement'!H26-'Cash Flow Statement'!H25)&lt;0.01</f>
        <v>1</v>
      </c>
      <c r="I15" s="117" t="b">
        <f aca="false">ABS('Cash Flow Statement'!I27-'Cash Flow Statement'!I26-'Cash Flow Statement'!I25)&lt;0.01</f>
        <v>1</v>
      </c>
      <c r="J15" s="117" t="b">
        <f aca="false">ABS('Cash Flow Statement'!J27-'Cash Flow Statement'!J26-'Cash Flow Statement'!J25)&lt;0.01</f>
        <v>1</v>
      </c>
      <c r="K15" s="117" t="b">
        <f aca="false">ABS('Cash Flow Statement'!K27-'Cash Flow Statement'!K26-'Cash Flow Statement'!K25)&lt;0.01</f>
        <v>1</v>
      </c>
      <c r="L15" s="117" t="b">
        <f aca="false">ABS('Cash Flow Statement'!L27-'Cash Flow Statement'!L26-'Cash Flow Statement'!L25)&lt;0.01</f>
        <v>1</v>
      </c>
      <c r="M15" s="117" t="b">
        <f aca="false">ABS('Cash Flow Statement'!M27-'Cash Flow Statement'!M26-'Cash Flow Statement'!M25)&lt;0.01</f>
        <v>1</v>
      </c>
    </row>
    <row r="17" customFormat="false" ht="15.75" hidden="false" customHeight="true" outlineLevel="0" collapsed="false">
      <c r="A17" s="5" t="s">
        <v>936</v>
      </c>
      <c r="B17" s="5"/>
      <c r="C17" s="5"/>
      <c r="D17" s="5"/>
      <c r="E17" s="5"/>
      <c r="F17" s="5"/>
      <c r="G17" s="5"/>
      <c r="H17" s="5"/>
      <c r="I17" s="5"/>
      <c r="J17" s="5"/>
      <c r="K17" s="5"/>
      <c r="L17" s="5"/>
      <c r="M17" s="5"/>
    </row>
    <row r="18" customFormat="false" ht="15" hidden="false" customHeight="false" outlineLevel="0" collapsed="false">
      <c r="A18" s="37" t="s">
        <v>937</v>
      </c>
      <c r="F18" s="117" t="b">
        <f aca="false">ABS('Balance Sheet'!F21+'Balance Sheet'!F23-'Debt &amp; Interest Schedule'!F40)&lt;0.01</f>
        <v>1</v>
      </c>
      <c r="G18" s="117" t="b">
        <f aca="false">ABS('Balance Sheet'!G21+'Balance Sheet'!G23-'Debt &amp; Interest Schedule'!G40)&lt;0.01</f>
        <v>1</v>
      </c>
      <c r="H18" s="117" t="b">
        <f aca="false">ABS('Balance Sheet'!H21+'Balance Sheet'!H23-'Debt &amp; Interest Schedule'!H40)&lt;0.01</f>
        <v>1</v>
      </c>
      <c r="I18" s="117" t="b">
        <f aca="false">ABS('Balance Sheet'!I21+'Balance Sheet'!I23-'Debt &amp; Interest Schedule'!I40)&lt;0.01</f>
        <v>1</v>
      </c>
      <c r="J18" s="117" t="b">
        <f aca="false">ABS('Balance Sheet'!J21+'Balance Sheet'!J23-'Debt &amp; Interest Schedule'!J40)&lt;0.01</f>
        <v>1</v>
      </c>
      <c r="K18" s="117" t="b">
        <f aca="false">ABS('Balance Sheet'!K21+'Balance Sheet'!K23-'Debt &amp; Interest Schedule'!K40)&lt;0.01</f>
        <v>1</v>
      </c>
      <c r="L18" s="117" t="b">
        <f aca="false">ABS('Balance Sheet'!L21+'Balance Sheet'!L23-'Debt &amp; Interest Schedule'!L40)&lt;0.01</f>
        <v>1</v>
      </c>
      <c r="M18" s="117" t="b">
        <f aca="false">ABS('Balance Sheet'!M21+'Balance Sheet'!M23-'Debt &amp; Interest Schedule'!M40)&lt;0.01</f>
        <v>1</v>
      </c>
    </row>
    <row r="20" customFormat="false" ht="15.75" hidden="false" customHeight="true" outlineLevel="0" collapsed="false">
      <c r="A20" s="5" t="s">
        <v>938</v>
      </c>
      <c r="B20" s="5"/>
      <c r="C20" s="5"/>
      <c r="D20" s="5"/>
      <c r="E20" s="5"/>
      <c r="F20" s="5"/>
      <c r="G20" s="5"/>
      <c r="H20" s="5"/>
      <c r="I20" s="5"/>
      <c r="J20" s="5"/>
      <c r="K20" s="5"/>
      <c r="L20" s="5"/>
      <c r="M20" s="5"/>
    </row>
    <row r="21" customFormat="false" ht="15" hidden="false" customHeight="false" outlineLevel="0" collapsed="false">
      <c r="A21" s="37" t="s">
        <v>939</v>
      </c>
      <c r="B21" s="117" t="b">
        <f aca="false">ABS('Balance Sheet'!B12-'PP&amp;E-Capex Schedule'!B59)&lt;0.01</f>
        <v>1</v>
      </c>
      <c r="C21" s="117" t="b">
        <f aca="false">ABS('Balance Sheet'!C12-'PP&amp;E-Capex Schedule'!C59)&lt;0.01</f>
        <v>1</v>
      </c>
      <c r="D21" s="117" t="b">
        <f aca="false">ABS('Balance Sheet'!D12-'PP&amp;E-Capex Schedule'!D59)&lt;0.01</f>
        <v>1</v>
      </c>
      <c r="E21" s="117" t="b">
        <f aca="false">ABS('Balance Sheet'!E12-'PP&amp;E-Capex Schedule'!E59)&lt;0.01</f>
        <v>1</v>
      </c>
      <c r="F21" s="117" t="b">
        <f aca="false">ABS('Balance Sheet'!F12-'PP&amp;E-Capex Schedule'!F59)&lt;0.01</f>
        <v>1</v>
      </c>
      <c r="G21" s="117" t="b">
        <f aca="false">ABS('Balance Sheet'!G12-'PP&amp;E-Capex Schedule'!G59)&lt;0.01</f>
        <v>1</v>
      </c>
      <c r="H21" s="117" t="b">
        <f aca="false">ABS('Balance Sheet'!H12-'PP&amp;E-Capex Schedule'!H59)&lt;0.01</f>
        <v>1</v>
      </c>
      <c r="I21" s="117" t="b">
        <f aca="false">ABS('Balance Sheet'!I12-'PP&amp;E-Capex Schedule'!I59)&lt;0.01</f>
        <v>1</v>
      </c>
      <c r="J21" s="117" t="b">
        <f aca="false">ABS('Balance Sheet'!J12-'PP&amp;E-Capex Schedule'!J59)&lt;0.01</f>
        <v>1</v>
      </c>
      <c r="K21" s="117" t="b">
        <f aca="false">ABS('Balance Sheet'!K12-'PP&amp;E-Capex Schedule'!K59)&lt;0.01</f>
        <v>1</v>
      </c>
      <c r="L21" s="117" t="b">
        <f aca="false">ABS('Balance Sheet'!L12-'PP&amp;E-Capex Schedule'!L59)&lt;0.01</f>
        <v>1</v>
      </c>
      <c r="M21" s="117" t="b">
        <f aca="false">ABS('Balance Sheet'!M12-'PP&amp;E-Capex Schedule'!M59)&lt;0.01</f>
        <v>1</v>
      </c>
    </row>
    <row r="23" customFormat="false" ht="15.75" hidden="false" customHeight="true" outlineLevel="0" collapsed="false">
      <c r="A23" s="5" t="s">
        <v>940</v>
      </c>
      <c r="B23" s="5"/>
      <c r="C23" s="5"/>
      <c r="D23" s="5"/>
      <c r="E23" s="5"/>
      <c r="F23" s="5"/>
      <c r="G23" s="5"/>
      <c r="H23" s="5"/>
      <c r="I23" s="5"/>
      <c r="J23" s="5"/>
      <c r="K23" s="5"/>
      <c r="L23" s="5"/>
      <c r="M23" s="5"/>
    </row>
    <row r="24" customFormat="false" ht="15" hidden="false" customHeight="false" outlineLevel="0" collapsed="false">
      <c r="A24" s="37" t="s">
        <v>941</v>
      </c>
      <c r="G24" s="117" t="b">
        <f aca="false">ABS('Balance Sheet'!G39-'Balance Sheet'!F39-'Income Statement'!G20-'Capital Allocation'!G24-'Capital Allocation'!G33)&lt;0.01</f>
        <v>1</v>
      </c>
      <c r="H24" s="117" t="b">
        <f aca="false">ABS('Balance Sheet'!H39-'Balance Sheet'!G39-'Income Statement'!H20-'Capital Allocation'!H24-'Capital Allocation'!H33)&lt;0.01</f>
        <v>1</v>
      </c>
      <c r="I24" s="117" t="b">
        <f aca="false">ABS('Balance Sheet'!I39-'Balance Sheet'!H39-'Income Statement'!I20-'Capital Allocation'!I24-'Capital Allocation'!I33)&lt;0.01</f>
        <v>1</v>
      </c>
      <c r="J24" s="117" t="b">
        <f aca="false">ABS('Balance Sheet'!J39-'Balance Sheet'!I39-'Income Statement'!J20-'Capital Allocation'!J24-'Capital Allocation'!J33)&lt;0.01</f>
        <v>1</v>
      </c>
      <c r="K24" s="117" t="b">
        <f aca="false">ABS('Balance Sheet'!K39-'Balance Sheet'!J39-'Income Statement'!K20-'Capital Allocation'!K24-'Capital Allocation'!K33)&lt;0.01</f>
        <v>1</v>
      </c>
      <c r="L24" s="117" t="b">
        <f aca="false">ABS('Balance Sheet'!L39-'Balance Sheet'!K39-'Income Statement'!L20-'Capital Allocation'!L24-'Capital Allocation'!L33)&lt;0.01</f>
        <v>1</v>
      </c>
      <c r="M24" s="117" t="b">
        <f aca="false">ABS('Balance Sheet'!M39-'Balance Sheet'!L39-'Income Statement'!M20-'Capital Allocation'!M24-'Capital Allocation'!M33)&lt;0.01</f>
        <v>1</v>
      </c>
    </row>
    <row r="26" customFormat="false" ht="15.75" hidden="false" customHeight="true" outlineLevel="0" collapsed="false">
      <c r="A26" s="5" t="s">
        <v>942</v>
      </c>
      <c r="B26" s="5"/>
      <c r="C26" s="5"/>
      <c r="D26" s="5"/>
      <c r="E26" s="5"/>
      <c r="F26" s="5"/>
      <c r="G26" s="5"/>
      <c r="H26" s="5"/>
      <c r="I26" s="5"/>
      <c r="J26" s="5"/>
      <c r="K26" s="5"/>
      <c r="L26" s="5"/>
      <c r="M26" s="5"/>
    </row>
    <row r="27" customFormat="false" ht="15" hidden="false" customHeight="false" outlineLevel="0" collapsed="false">
      <c r="A27" s="37" t="s">
        <v>943</v>
      </c>
      <c r="C27" s="117" t="b">
        <f aca="false">ABS('Cash Flow Statement'!C11+'Cash Flow Statement'!C15+'Cash Flow Statement'!C22-'Cash Flow Statement'!C25)&lt;0.01</f>
        <v>1</v>
      </c>
      <c r="D27" s="117" t="b">
        <f aca="false">ABS('Cash Flow Statement'!D11+'Cash Flow Statement'!D15+'Cash Flow Statement'!D22-'Cash Flow Statement'!D25)&lt;0.01</f>
        <v>1</v>
      </c>
      <c r="E27" s="117" t="b">
        <f aca="false">ABS('Cash Flow Statement'!E11+'Cash Flow Statement'!E15+'Cash Flow Statement'!E22-'Cash Flow Statement'!E25)&lt;0.01</f>
        <v>1</v>
      </c>
      <c r="F27" s="117" t="b">
        <f aca="false">ABS('Cash Flow Statement'!F11+'Cash Flow Statement'!F15+'Cash Flow Statement'!F22-'Cash Flow Statement'!F25)&lt;0.01</f>
        <v>1</v>
      </c>
      <c r="G27" s="117" t="b">
        <f aca="false">ABS('Cash Flow Statement'!G11+'Cash Flow Statement'!G15+'Cash Flow Statement'!G22-'Cash Flow Statement'!G25)&lt;0.01</f>
        <v>1</v>
      </c>
      <c r="H27" s="117" t="b">
        <f aca="false">ABS('Cash Flow Statement'!H11+'Cash Flow Statement'!H15+'Cash Flow Statement'!H22-'Cash Flow Statement'!H25)&lt;0.01</f>
        <v>1</v>
      </c>
      <c r="I27" s="117" t="b">
        <f aca="false">ABS('Cash Flow Statement'!I11+'Cash Flow Statement'!I15+'Cash Flow Statement'!I22-'Cash Flow Statement'!I25)&lt;0.01</f>
        <v>1</v>
      </c>
      <c r="J27" s="117" t="b">
        <f aca="false">ABS('Cash Flow Statement'!J11+'Cash Flow Statement'!J15+'Cash Flow Statement'!J22-'Cash Flow Statement'!J25)&lt;0.01</f>
        <v>1</v>
      </c>
      <c r="K27" s="117" t="b">
        <f aca="false">ABS('Cash Flow Statement'!K11+'Cash Flow Statement'!K15+'Cash Flow Statement'!K22-'Cash Flow Statement'!K25)&lt;0.01</f>
        <v>1</v>
      </c>
      <c r="L27" s="117" t="b">
        <f aca="false">ABS('Cash Flow Statement'!L11+'Cash Flow Statement'!L15+'Cash Flow Statement'!L22-'Cash Flow Statement'!L25)&lt;0.01</f>
        <v>1</v>
      </c>
      <c r="M27" s="117" t="b">
        <f aca="false">ABS('Cash Flow Statement'!M11+'Cash Flow Statement'!M15+'Cash Flow Statement'!M22-'Cash Flow Statement'!M25)&lt;0.01</f>
        <v>1</v>
      </c>
    </row>
    <row r="30" customFormat="false" ht="15.75" hidden="false" customHeight="true" outlineLevel="0" collapsed="false">
      <c r="A30" s="5" t="s">
        <v>944</v>
      </c>
      <c r="B30" s="5"/>
      <c r="C30" s="5"/>
      <c r="D30" s="5"/>
      <c r="E30" s="5"/>
      <c r="F30" s="5"/>
      <c r="G30" s="5"/>
      <c r="H30" s="5"/>
      <c r="I30" s="5"/>
      <c r="J30" s="5"/>
      <c r="K30" s="5"/>
      <c r="L30" s="5"/>
      <c r="M30" s="5"/>
    </row>
    <row r="31" customFormat="false" ht="15" hidden="false" customHeight="false" outlineLevel="0" collapsed="false">
      <c r="A31" s="37" t="s">
        <v>945</v>
      </c>
      <c r="B31" s="117" t="b">
        <f aca="false">AND(B8:M8,B12:M12,B15:M15,B18:M18,B21:M21,B24:M24,B27:M27)</f>
        <v>1</v>
      </c>
    </row>
    <row r="32" customFormat="false" ht="15" hidden="false" customHeight="false" outlineLevel="0" collapsed="false">
      <c r="A32" s="16" t="s">
        <v>946</v>
      </c>
      <c r="B32" s="16"/>
      <c r="C32" s="16"/>
      <c r="D32" s="16"/>
      <c r="E32" s="16"/>
      <c r="F32" s="16"/>
      <c r="G32" s="16"/>
      <c r="H32" s="16"/>
      <c r="I32" s="16"/>
      <c r="J32" s="16"/>
      <c r="K32" s="16"/>
      <c r="L32" s="16"/>
      <c r="M32" s="16"/>
    </row>
  </sheetData>
  <mergeCells count="3">
    <mergeCell ref="A1:M1"/>
    <mergeCell ref="A2:M2"/>
    <mergeCell ref="A32:M32"/>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20"/>
    <col collapsed="false" customWidth="true" hidden="false" outlineLevel="0" max="4" min="4" style="0" width="46"/>
    <col collapsed="false" customWidth="true" hidden="false" outlineLevel="0" max="5" min="5" style="0" width="10"/>
    <col collapsed="false" customWidth="true" hidden="false" outlineLevel="0" max="6" min="6" style="0" width="34"/>
  </cols>
  <sheetData>
    <row r="1" customFormat="false" ht="21.75" hidden="false" customHeight="true" outlineLevel="0" collapsed="false">
      <c r="A1" s="19" t="s">
        <v>155</v>
      </c>
      <c r="B1" s="19"/>
      <c r="C1" s="19"/>
      <c r="D1" s="19"/>
      <c r="E1" s="19"/>
      <c r="F1" s="19"/>
    </row>
    <row r="2" customFormat="false" ht="15.75" hidden="false" customHeight="true" outlineLevel="0" collapsed="false">
      <c r="A2" s="20" t="s">
        <v>156</v>
      </c>
      <c r="B2" s="20"/>
      <c r="C2" s="20"/>
      <c r="D2" s="20"/>
      <c r="E2" s="20"/>
      <c r="F2" s="20"/>
    </row>
    <row r="4" customFormat="false" ht="15" hidden="false" customHeight="false" outlineLevel="0" collapsed="false">
      <c r="A4" s="31" t="s">
        <v>157</v>
      </c>
      <c r="B4" s="31" t="s">
        <v>158</v>
      </c>
      <c r="C4" s="31" t="s">
        <v>159</v>
      </c>
      <c r="D4" s="31" t="s">
        <v>160</v>
      </c>
      <c r="E4" s="31" t="s">
        <v>161</v>
      </c>
      <c r="F4" s="31" t="s">
        <v>162</v>
      </c>
    </row>
    <row r="5" customFormat="false" ht="43.5" hidden="false" customHeight="true" outlineLevel="0" collapsed="false">
      <c r="A5" s="32" t="n">
        <v>1</v>
      </c>
      <c r="B5" s="33" t="s">
        <v>163</v>
      </c>
      <c r="C5" s="34" t="s">
        <v>164</v>
      </c>
      <c r="D5" s="35" t="s">
        <v>165</v>
      </c>
      <c r="E5" s="32" t="s">
        <v>166</v>
      </c>
      <c r="F5" s="34" t="s">
        <v>167</v>
      </c>
    </row>
    <row r="6" customFormat="false" ht="43.5" hidden="false" customHeight="true" outlineLevel="0" collapsed="false">
      <c r="A6" s="32" t="n">
        <v>2</v>
      </c>
      <c r="B6" s="33" t="s">
        <v>168</v>
      </c>
      <c r="C6" s="34" t="s">
        <v>164</v>
      </c>
      <c r="D6" s="35" t="s">
        <v>169</v>
      </c>
      <c r="E6" s="32" t="s">
        <v>166</v>
      </c>
      <c r="F6" s="34" t="s">
        <v>170</v>
      </c>
    </row>
    <row r="7" customFormat="false" ht="43.5" hidden="false" customHeight="true" outlineLevel="0" collapsed="false">
      <c r="A7" s="32" t="n">
        <v>3</v>
      </c>
      <c r="B7" s="33" t="s">
        <v>171</v>
      </c>
      <c r="C7" s="34" t="s">
        <v>164</v>
      </c>
      <c r="D7" s="35" t="s">
        <v>172</v>
      </c>
      <c r="E7" s="32" t="s">
        <v>173</v>
      </c>
      <c r="F7" s="34" t="s">
        <v>174</v>
      </c>
    </row>
    <row r="8" customFormat="false" ht="43.5" hidden="false" customHeight="true" outlineLevel="0" collapsed="false">
      <c r="A8" s="32" t="n">
        <v>4</v>
      </c>
      <c r="B8" s="33" t="s">
        <v>175</v>
      </c>
      <c r="C8" s="34" t="s">
        <v>164</v>
      </c>
      <c r="D8" s="35" t="s">
        <v>176</v>
      </c>
      <c r="E8" s="32" t="s">
        <v>173</v>
      </c>
      <c r="F8" s="34" t="s">
        <v>177</v>
      </c>
    </row>
    <row r="9" customFormat="false" ht="43.5" hidden="false" customHeight="true" outlineLevel="0" collapsed="false">
      <c r="A9" s="32" t="n">
        <v>5</v>
      </c>
      <c r="B9" s="33" t="s">
        <v>178</v>
      </c>
      <c r="C9" s="34" t="s">
        <v>164</v>
      </c>
      <c r="D9" s="35" t="s">
        <v>179</v>
      </c>
      <c r="E9" s="32" t="s">
        <v>180</v>
      </c>
      <c r="F9" s="34" t="s">
        <v>181</v>
      </c>
    </row>
    <row r="10" customFormat="false" ht="43.5" hidden="false" customHeight="true" outlineLevel="0" collapsed="false">
      <c r="A10" s="32" t="n">
        <v>6</v>
      </c>
      <c r="B10" s="33" t="s">
        <v>182</v>
      </c>
      <c r="C10" s="34" t="s">
        <v>164</v>
      </c>
      <c r="D10" s="35" t="s">
        <v>183</v>
      </c>
      <c r="E10" s="32" t="s">
        <v>166</v>
      </c>
      <c r="F10" s="34" t="s">
        <v>184</v>
      </c>
    </row>
    <row r="11" customFormat="false" ht="43.5" hidden="false" customHeight="true" outlineLevel="0" collapsed="false">
      <c r="A11" s="32" t="n">
        <v>7</v>
      </c>
      <c r="B11" s="33" t="s">
        <v>185</v>
      </c>
      <c r="C11" s="34" t="s">
        <v>186</v>
      </c>
      <c r="D11" s="35" t="s">
        <v>187</v>
      </c>
      <c r="E11" s="32" t="s">
        <v>166</v>
      </c>
      <c r="F11" s="34" t="s">
        <v>188</v>
      </c>
    </row>
    <row r="12" customFormat="false" ht="43.5" hidden="false" customHeight="true" outlineLevel="0" collapsed="false">
      <c r="A12" s="32" t="n">
        <v>8</v>
      </c>
      <c r="B12" s="33" t="s">
        <v>189</v>
      </c>
      <c r="C12" s="34" t="s">
        <v>186</v>
      </c>
      <c r="D12" s="35" t="s">
        <v>190</v>
      </c>
      <c r="E12" s="32" t="s">
        <v>166</v>
      </c>
      <c r="F12" s="34" t="s">
        <v>170</v>
      </c>
    </row>
    <row r="13" customFormat="false" ht="43.5" hidden="false" customHeight="true" outlineLevel="0" collapsed="false">
      <c r="A13" s="32" t="n">
        <v>9</v>
      </c>
      <c r="B13" s="33" t="s">
        <v>191</v>
      </c>
      <c r="C13" s="34" t="s">
        <v>186</v>
      </c>
      <c r="D13" s="35" t="s">
        <v>192</v>
      </c>
      <c r="E13" s="32" t="s">
        <v>166</v>
      </c>
      <c r="F13" s="34" t="s">
        <v>170</v>
      </c>
    </row>
    <row r="14" customFormat="false" ht="43.5" hidden="false" customHeight="true" outlineLevel="0" collapsed="false">
      <c r="A14" s="32" t="n">
        <v>10</v>
      </c>
      <c r="B14" s="33" t="s">
        <v>193</v>
      </c>
      <c r="C14" s="34" t="s">
        <v>186</v>
      </c>
      <c r="D14" s="35" t="s">
        <v>194</v>
      </c>
      <c r="E14" s="32" t="s">
        <v>166</v>
      </c>
      <c r="F14" s="34" t="s">
        <v>195</v>
      </c>
    </row>
    <row r="15" customFormat="false" ht="43.5" hidden="false" customHeight="true" outlineLevel="0" collapsed="false">
      <c r="A15" s="32" t="n">
        <v>11</v>
      </c>
      <c r="B15" s="33" t="s">
        <v>196</v>
      </c>
      <c r="C15" s="34" t="s">
        <v>186</v>
      </c>
      <c r="D15" s="35" t="s">
        <v>197</v>
      </c>
      <c r="E15" s="32" t="s">
        <v>198</v>
      </c>
      <c r="F15" s="34" t="s">
        <v>199</v>
      </c>
    </row>
    <row r="16" customFormat="false" ht="43.5" hidden="false" customHeight="true" outlineLevel="0" collapsed="false">
      <c r="A16" s="32" t="n">
        <v>12</v>
      </c>
      <c r="B16" s="33" t="s">
        <v>200</v>
      </c>
      <c r="C16" s="34" t="s">
        <v>201</v>
      </c>
      <c r="D16" s="35" t="s">
        <v>202</v>
      </c>
      <c r="E16" s="32" t="s">
        <v>173</v>
      </c>
      <c r="F16" s="34" t="s">
        <v>203</v>
      </c>
    </row>
    <row r="17" customFormat="false" ht="43.5" hidden="false" customHeight="true" outlineLevel="0" collapsed="false">
      <c r="A17" s="32" t="n">
        <v>13</v>
      </c>
      <c r="B17" s="33" t="s">
        <v>204</v>
      </c>
      <c r="C17" s="34" t="s">
        <v>201</v>
      </c>
      <c r="D17" s="35" t="s">
        <v>205</v>
      </c>
      <c r="E17" s="32" t="s">
        <v>206</v>
      </c>
      <c r="F17" s="34" t="s">
        <v>207</v>
      </c>
    </row>
    <row r="18" customFormat="false" ht="43.5" hidden="false" customHeight="true" outlineLevel="0" collapsed="false">
      <c r="A18" s="32" t="n">
        <v>14</v>
      </c>
      <c r="B18" s="33" t="s">
        <v>208</v>
      </c>
      <c r="C18" s="34" t="s">
        <v>201</v>
      </c>
      <c r="D18" s="35" t="s">
        <v>209</v>
      </c>
      <c r="E18" s="32" t="s">
        <v>180</v>
      </c>
      <c r="F18" s="34" t="s">
        <v>210</v>
      </c>
    </row>
    <row r="19" customFormat="false" ht="43.5" hidden="false" customHeight="true" outlineLevel="0" collapsed="false">
      <c r="A19" s="32" t="n">
        <v>15</v>
      </c>
      <c r="B19" s="33" t="s">
        <v>211</v>
      </c>
      <c r="C19" s="34" t="s">
        <v>201</v>
      </c>
      <c r="D19" s="35" t="s">
        <v>212</v>
      </c>
      <c r="E19" s="32" t="s">
        <v>206</v>
      </c>
      <c r="F19" s="34" t="s">
        <v>213</v>
      </c>
    </row>
    <row r="20" customFormat="false" ht="43.5" hidden="false" customHeight="true" outlineLevel="0" collapsed="false">
      <c r="A20" s="32" t="n">
        <v>16</v>
      </c>
      <c r="B20" s="33" t="s">
        <v>214</v>
      </c>
      <c r="C20" s="34" t="s">
        <v>201</v>
      </c>
      <c r="D20" s="35" t="s">
        <v>215</v>
      </c>
      <c r="E20" s="32" t="s">
        <v>180</v>
      </c>
      <c r="F20" s="34" t="s">
        <v>216</v>
      </c>
    </row>
    <row r="21" customFormat="false" ht="43.5" hidden="false" customHeight="true" outlineLevel="0" collapsed="false">
      <c r="A21" s="32" t="n">
        <v>17</v>
      </c>
      <c r="B21" s="33" t="s">
        <v>217</v>
      </c>
      <c r="C21" s="34" t="s">
        <v>201</v>
      </c>
      <c r="D21" s="35" t="s">
        <v>218</v>
      </c>
      <c r="E21" s="32" t="s">
        <v>180</v>
      </c>
      <c r="F21" s="34" t="s">
        <v>219</v>
      </c>
    </row>
    <row r="22" customFormat="false" ht="43.5" hidden="false" customHeight="true" outlineLevel="0" collapsed="false">
      <c r="A22" s="32" t="n">
        <v>18</v>
      </c>
      <c r="B22" s="33" t="s">
        <v>220</v>
      </c>
      <c r="C22" s="34" t="s">
        <v>221</v>
      </c>
      <c r="D22" s="35" t="s">
        <v>222</v>
      </c>
      <c r="E22" s="32" t="s">
        <v>166</v>
      </c>
      <c r="F22" s="34" t="s">
        <v>223</v>
      </c>
    </row>
    <row r="23" customFormat="false" ht="43.5" hidden="false" customHeight="true" outlineLevel="0" collapsed="false">
      <c r="A23" s="32" t="n">
        <v>19</v>
      </c>
      <c r="B23" s="33" t="s">
        <v>224</v>
      </c>
      <c r="C23" s="34" t="s">
        <v>221</v>
      </c>
      <c r="D23" s="35" t="s">
        <v>225</v>
      </c>
      <c r="E23" s="32" t="s">
        <v>206</v>
      </c>
      <c r="F23" s="34" t="s">
        <v>226</v>
      </c>
    </row>
    <row r="24" customFormat="false" ht="43.5" hidden="false" customHeight="true" outlineLevel="0" collapsed="false">
      <c r="A24" s="32" t="n">
        <v>20</v>
      </c>
      <c r="B24" s="33" t="s">
        <v>227</v>
      </c>
      <c r="C24" s="34" t="s">
        <v>221</v>
      </c>
      <c r="D24" s="35" t="s">
        <v>228</v>
      </c>
      <c r="E24" s="32" t="s">
        <v>229</v>
      </c>
      <c r="F24" s="34" t="s">
        <v>230</v>
      </c>
    </row>
    <row r="25" customFormat="false" ht="43.5" hidden="false" customHeight="true" outlineLevel="0" collapsed="false">
      <c r="A25" s="32" t="n">
        <v>21</v>
      </c>
      <c r="B25" s="33" t="s">
        <v>231</v>
      </c>
      <c r="C25" s="34" t="s">
        <v>232</v>
      </c>
      <c r="D25" s="35" t="s">
        <v>233</v>
      </c>
      <c r="E25" s="32" t="s">
        <v>166</v>
      </c>
      <c r="F25" s="34" t="s">
        <v>234</v>
      </c>
    </row>
    <row r="26" customFormat="false" ht="43.5" hidden="false" customHeight="true" outlineLevel="0" collapsed="false">
      <c r="A26" s="32" t="n">
        <v>22</v>
      </c>
      <c r="B26" s="33" t="s">
        <v>235</v>
      </c>
      <c r="C26" s="34" t="s">
        <v>232</v>
      </c>
      <c r="D26" s="35" t="s">
        <v>236</v>
      </c>
      <c r="E26" s="32" t="s">
        <v>237</v>
      </c>
      <c r="F26" s="34" t="s">
        <v>238</v>
      </c>
    </row>
    <row r="27" customFormat="false" ht="43.5" hidden="false" customHeight="true" outlineLevel="0" collapsed="false">
      <c r="A27" s="32" t="n">
        <v>23</v>
      </c>
      <c r="B27" s="33" t="s">
        <v>239</v>
      </c>
      <c r="C27" s="34" t="s">
        <v>240</v>
      </c>
      <c r="D27" s="35" t="s">
        <v>241</v>
      </c>
      <c r="E27" s="32" t="s">
        <v>242</v>
      </c>
      <c r="F27" s="34" t="s">
        <v>243</v>
      </c>
    </row>
    <row r="28" customFormat="false" ht="43.5" hidden="false" customHeight="true" outlineLevel="0" collapsed="false">
      <c r="A28" s="32" t="n">
        <v>24</v>
      </c>
      <c r="B28" s="33" t="s">
        <v>244</v>
      </c>
      <c r="C28" s="34" t="s">
        <v>245</v>
      </c>
      <c r="D28" s="35" t="s">
        <v>246</v>
      </c>
      <c r="E28" s="32" t="s">
        <v>166</v>
      </c>
      <c r="F28" s="34" t="s">
        <v>247</v>
      </c>
    </row>
    <row r="29" customFormat="false" ht="43.5" hidden="false" customHeight="true" outlineLevel="0" collapsed="false">
      <c r="A29" s="32" t="n">
        <v>25</v>
      </c>
      <c r="B29" s="33" t="s">
        <v>248</v>
      </c>
      <c r="C29" s="34" t="s">
        <v>245</v>
      </c>
      <c r="D29" s="35" t="s">
        <v>249</v>
      </c>
      <c r="E29" s="32" t="s">
        <v>166</v>
      </c>
      <c r="F29" s="34" t="s">
        <v>250</v>
      </c>
    </row>
    <row r="30" customFormat="false" ht="43.5" hidden="false" customHeight="true" outlineLevel="0" collapsed="false">
      <c r="A30" s="32" t="n">
        <v>26</v>
      </c>
      <c r="B30" s="33" t="s">
        <v>251</v>
      </c>
      <c r="C30" s="34" t="s">
        <v>252</v>
      </c>
      <c r="D30" s="35" t="s">
        <v>253</v>
      </c>
      <c r="E30" s="32" t="s">
        <v>254</v>
      </c>
      <c r="F30" s="34" t="s">
        <v>255</v>
      </c>
    </row>
    <row r="31" customFormat="false" ht="43.5" hidden="false" customHeight="true" outlineLevel="0" collapsed="false">
      <c r="A31" s="32" t="n">
        <v>27</v>
      </c>
      <c r="B31" s="33" t="s">
        <v>256</v>
      </c>
      <c r="C31" s="34" t="s">
        <v>257</v>
      </c>
      <c r="D31" s="35" t="s">
        <v>258</v>
      </c>
      <c r="E31" s="32" t="s">
        <v>259</v>
      </c>
      <c r="F31" s="34" t="s">
        <v>260</v>
      </c>
    </row>
    <row r="32" customFormat="false" ht="43.5" hidden="false" customHeight="true" outlineLevel="0" collapsed="false">
      <c r="A32" s="32" t="n">
        <v>28</v>
      </c>
      <c r="B32" s="33" t="s">
        <v>261</v>
      </c>
      <c r="C32" s="34" t="s">
        <v>257</v>
      </c>
      <c r="D32" s="35" t="s">
        <v>262</v>
      </c>
      <c r="E32" s="32" t="s">
        <v>259</v>
      </c>
      <c r="F32" s="34" t="s">
        <v>263</v>
      </c>
    </row>
    <row r="33" customFormat="false" ht="43.5" hidden="false" customHeight="true" outlineLevel="0" collapsed="false">
      <c r="A33" s="32" t="n">
        <v>29</v>
      </c>
      <c r="B33" s="33" t="s">
        <v>264</v>
      </c>
      <c r="C33" s="34" t="s">
        <v>265</v>
      </c>
      <c r="D33" s="35" t="s">
        <v>266</v>
      </c>
      <c r="E33" s="32" t="s">
        <v>229</v>
      </c>
      <c r="F33" s="34" t="s">
        <v>267</v>
      </c>
    </row>
    <row r="34" customFormat="false" ht="43.5" hidden="false" customHeight="true" outlineLevel="0" collapsed="false">
      <c r="A34" s="32" t="n">
        <v>30</v>
      </c>
      <c r="B34" s="33" t="s">
        <v>268</v>
      </c>
      <c r="C34" s="34" t="s">
        <v>257</v>
      </c>
      <c r="D34" s="35" t="s">
        <v>269</v>
      </c>
      <c r="E34" s="32" t="s">
        <v>270</v>
      </c>
      <c r="F34" s="34" t="s">
        <v>271</v>
      </c>
    </row>
    <row r="35" customFormat="false" ht="43.5" hidden="false" customHeight="true" outlineLevel="0" collapsed="false">
      <c r="A35" s="32" t="n">
        <v>31</v>
      </c>
      <c r="B35" s="33" t="s">
        <v>272</v>
      </c>
      <c r="C35" s="34" t="s">
        <v>273</v>
      </c>
      <c r="D35" s="35" t="s">
        <v>274</v>
      </c>
      <c r="E35" s="32" t="s">
        <v>198</v>
      </c>
      <c r="F35" s="34" t="s">
        <v>275</v>
      </c>
    </row>
    <row r="37" customFormat="false" ht="15" hidden="false" customHeight="false" outlineLevel="0" collapsed="false">
      <c r="A37" s="16" t="s">
        <v>276</v>
      </c>
      <c r="B37" s="16"/>
      <c r="C37" s="16"/>
      <c r="D37" s="16"/>
      <c r="E37" s="16"/>
      <c r="F37" s="16"/>
    </row>
    <row r="39" customFormat="false" ht="15.75" hidden="false" customHeight="true" outlineLevel="0" collapsed="false">
      <c r="A39" s="5" t="s">
        <v>277</v>
      </c>
      <c r="B39" s="5"/>
      <c r="C39" s="5"/>
      <c r="D39" s="5"/>
      <c r="E39" s="5"/>
      <c r="F39" s="5"/>
    </row>
    <row r="40" customFormat="false" ht="15" hidden="false" customHeight="false" outlineLevel="0" collapsed="false">
      <c r="A40" s="16" t="s">
        <v>278</v>
      </c>
      <c r="B40" s="16"/>
      <c r="C40" s="16"/>
      <c r="D40" s="16"/>
      <c r="E40" s="16"/>
      <c r="F40" s="16"/>
    </row>
    <row r="42" customFormat="false" ht="15.75" hidden="false" customHeight="true" outlineLevel="0" collapsed="false">
      <c r="A42" s="5" t="s">
        <v>279</v>
      </c>
      <c r="B42" s="5"/>
      <c r="C42" s="5"/>
      <c r="D42" s="5"/>
      <c r="E42" s="5"/>
      <c r="F42" s="5"/>
    </row>
    <row r="43" customFormat="false" ht="15" hidden="false" customHeight="false" outlineLevel="0" collapsed="false">
      <c r="A43" s="16" t="s">
        <v>280</v>
      </c>
      <c r="B43" s="16"/>
      <c r="C43" s="16"/>
      <c r="D43" s="16"/>
      <c r="E43" s="16"/>
      <c r="F43" s="16"/>
    </row>
  </sheetData>
  <mergeCells count="5">
    <mergeCell ref="A1:F1"/>
    <mergeCell ref="A2:F2"/>
    <mergeCell ref="A37:F37"/>
    <mergeCell ref="A40:F40"/>
    <mergeCell ref="A43:F43"/>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7" min="2" style="0" width="12"/>
  </cols>
  <sheetData>
    <row r="1" customFormat="false" ht="21.75" hidden="false" customHeight="true" outlineLevel="0" collapsed="false">
      <c r="A1" s="19" t="s">
        <v>281</v>
      </c>
      <c r="B1" s="19"/>
      <c r="C1" s="19"/>
      <c r="D1" s="19"/>
      <c r="E1" s="19"/>
      <c r="F1" s="19"/>
    </row>
    <row r="2" customFormat="false" ht="15.75" hidden="false" customHeight="true" outlineLevel="0" collapsed="false">
      <c r="A2" s="20" t="s">
        <v>282</v>
      </c>
      <c r="B2" s="20"/>
      <c r="C2" s="20"/>
      <c r="D2" s="20"/>
      <c r="E2" s="20"/>
      <c r="F2" s="20"/>
    </row>
    <row r="4" customFormat="false" ht="15" hidden="false" customHeight="true" outlineLevel="0" collapsed="false">
      <c r="B4" s="29" t="s">
        <v>283</v>
      </c>
      <c r="C4" s="29" t="s">
        <v>284</v>
      </c>
      <c r="D4" s="29" t="s">
        <v>285</v>
      </c>
      <c r="E4" s="29" t="s">
        <v>286</v>
      </c>
      <c r="F4" s="29" t="s">
        <v>287</v>
      </c>
    </row>
    <row r="5" customFormat="false" ht="15" hidden="false" customHeight="false" outlineLevel="0" collapsed="false">
      <c r="B5" s="36" t="s">
        <v>288</v>
      </c>
      <c r="C5" s="36" t="s">
        <v>289</v>
      </c>
      <c r="D5" s="36" t="s">
        <v>290</v>
      </c>
      <c r="E5" s="36" t="s">
        <v>291</v>
      </c>
      <c r="F5" s="36" t="s">
        <v>292</v>
      </c>
    </row>
    <row r="7" customFormat="false" ht="15.75" hidden="false" customHeight="true" outlineLevel="0" collapsed="false">
      <c r="A7" s="5" t="s">
        <v>293</v>
      </c>
      <c r="B7" s="5"/>
      <c r="C7" s="5"/>
      <c r="D7" s="5"/>
      <c r="E7" s="5"/>
      <c r="F7" s="5"/>
    </row>
    <row r="8" customFormat="false" ht="15" hidden="false" customHeight="false" outlineLevel="0" collapsed="false">
      <c r="A8" s="37" t="s">
        <v>294</v>
      </c>
      <c r="B8" s="9" t="n">
        <f aca="false">'Income Statement'!B7</f>
        <v>106005</v>
      </c>
      <c r="C8" s="9" t="n">
        <f aca="false">'Income Statement'!C7</f>
        <v>109120</v>
      </c>
      <c r="D8" s="9" t="n">
        <f aca="false">'Income Statement'!D7</f>
        <v>107412</v>
      </c>
      <c r="E8" s="9" t="n">
        <f aca="false">'Income Statement'!E7</f>
        <v>106566</v>
      </c>
      <c r="F8" s="9" t="n">
        <f aca="false">'Income Statement'!F7</f>
        <v>104780</v>
      </c>
    </row>
    <row r="9" customFormat="false" ht="15" hidden="false" customHeight="false" outlineLevel="0" collapsed="false">
      <c r="A9" s="38" t="s">
        <v>295</v>
      </c>
      <c r="B9" s="38" t="s">
        <v>296</v>
      </c>
      <c r="C9" s="39" t="n">
        <f aca="false">C8/B8-1</f>
        <v>0.0293854063487571</v>
      </c>
      <c r="D9" s="39" t="n">
        <f aca="false">D8/C8-1</f>
        <v>-0.0156524926686217</v>
      </c>
      <c r="E9" s="39" t="n">
        <f aca="false">E8/D8-1</f>
        <v>-0.00787621494805046</v>
      </c>
      <c r="F9" s="39" t="n">
        <f aca="false">F8/E8-1</f>
        <v>-0.0167595668412064</v>
      </c>
    </row>
    <row r="10" customFormat="false" ht="15" hidden="false" customHeight="false" outlineLevel="0" collapsed="false">
      <c r="A10" s="6" t="s">
        <v>297</v>
      </c>
      <c r="B10" s="25" t="n">
        <f aca="false">'Revenue Build'!B51</f>
        <v>0.127</v>
      </c>
      <c r="C10" s="25" t="n">
        <f aca="false">'Revenue Build'!C51</f>
        <v>0.022</v>
      </c>
      <c r="D10" s="25" t="n">
        <f aca="false">'Revenue Build'!D51</f>
        <v>-0.037</v>
      </c>
      <c r="E10" s="25" t="n">
        <f aca="false">'Revenue Build'!E51</f>
        <v>0.001</v>
      </c>
      <c r="F10" s="25" t="n">
        <f aca="false">'Revenue Build'!F51</f>
        <v>-0.026</v>
      </c>
    </row>
    <row r="11" customFormat="false" ht="15" hidden="false" customHeight="false" outlineLevel="0" collapsed="false">
      <c r="A11" s="6" t="s">
        <v>298</v>
      </c>
      <c r="B11" s="24" t="n">
        <f aca="false">'Income Statement'!B8</f>
        <v>-74963</v>
      </c>
      <c r="C11" s="24" t="n">
        <f aca="false">'Income Statement'!C8</f>
        <v>-82229</v>
      </c>
      <c r="D11" s="24" t="n">
        <f aca="false">'Income Statement'!D8</f>
        <v>-77736</v>
      </c>
      <c r="E11" s="24" t="n">
        <f aca="false">'Income Statement'!E8</f>
        <v>-76502</v>
      </c>
      <c r="F11" s="24" t="n">
        <f aca="false">'Income Statement'!F8</f>
        <v>-75511</v>
      </c>
    </row>
    <row r="12" customFormat="false" ht="15" hidden="false" customHeight="false" outlineLevel="0" collapsed="false">
      <c r="A12" s="37" t="s">
        <v>299</v>
      </c>
      <c r="B12" s="9" t="n">
        <f aca="false">'Income Statement'!B9</f>
        <v>31042</v>
      </c>
      <c r="C12" s="9" t="n">
        <f aca="false">'Income Statement'!C9</f>
        <v>26891</v>
      </c>
      <c r="D12" s="9" t="n">
        <f aca="false">'Income Statement'!D9</f>
        <v>29676</v>
      </c>
      <c r="E12" s="9" t="n">
        <f aca="false">'Income Statement'!E9</f>
        <v>30064</v>
      </c>
      <c r="F12" s="9" t="n">
        <f aca="false">'Income Statement'!F9</f>
        <v>29269</v>
      </c>
    </row>
    <row r="13" customFormat="false" ht="15" hidden="false" customHeight="false" outlineLevel="0" collapsed="false">
      <c r="A13" s="38" t="s">
        <v>300</v>
      </c>
      <c r="B13" s="39" t="n">
        <f aca="false">B12/B8</f>
        <v>0.292835243620584</v>
      </c>
      <c r="C13" s="39" t="n">
        <f aca="false">C12/C8</f>
        <v>0.246435117302053</v>
      </c>
      <c r="D13" s="39" t="n">
        <f aca="false">D12/D8</f>
        <v>0.276281979667076</v>
      </c>
      <c r="E13" s="39" t="n">
        <f aca="false">E12/E8</f>
        <v>0.282116247208303</v>
      </c>
      <c r="F13" s="39" t="n">
        <f aca="false">F12/F8</f>
        <v>0.279337659858752</v>
      </c>
    </row>
    <row r="14" customFormat="false" ht="15" hidden="false" customHeight="false" outlineLevel="0" collapsed="false">
      <c r="A14" s="6" t="s">
        <v>301</v>
      </c>
      <c r="B14" s="24" t="n">
        <f aca="false">'Income Statement'!B10</f>
        <v>-19752</v>
      </c>
      <c r="C14" s="24" t="n">
        <f aca="false">'Income Statement'!C10</f>
        <v>-20658</v>
      </c>
      <c r="D14" s="24" t="n">
        <f aca="false">'Income Statement'!D10</f>
        <v>-21554</v>
      </c>
      <c r="E14" s="24" t="n">
        <f aca="false">'Income Statement'!E10</f>
        <v>-21969</v>
      </c>
      <c r="F14" s="24" t="n">
        <f aca="false">'Income Statement'!F10</f>
        <v>-21535</v>
      </c>
    </row>
    <row r="15" customFormat="false" ht="15" hidden="false" customHeight="false" outlineLevel="0" collapsed="false">
      <c r="A15" s="38" t="s">
        <v>302</v>
      </c>
      <c r="B15" s="39" t="n">
        <f aca="false">-B14/B8</f>
        <v>0.186330833451252</v>
      </c>
      <c r="C15" s="39" t="n">
        <f aca="false">-C14/C8</f>
        <v>0.189314516129032</v>
      </c>
      <c r="D15" s="39" t="n">
        <f aca="false">-D14/D8</f>
        <v>0.200666592187093</v>
      </c>
      <c r="E15" s="39" t="n">
        <f aca="false">-E14/E8</f>
        <v>0.206153932774056</v>
      </c>
      <c r="F15" s="39" t="n">
        <f aca="false">-F14/F8</f>
        <v>0.205525863714449</v>
      </c>
    </row>
    <row r="16" customFormat="false" ht="15" hidden="false" customHeight="false" outlineLevel="0" collapsed="false">
      <c r="A16" s="6" t="s">
        <v>303</v>
      </c>
      <c r="B16" s="24" t="n">
        <f aca="false">'Income Statement'!B11</f>
        <v>-2344</v>
      </c>
      <c r="C16" s="24" t="n">
        <f aca="false">'Income Statement'!C11</f>
        <v>-2385</v>
      </c>
      <c r="D16" s="24" t="n">
        <f aca="false">'Income Statement'!D11</f>
        <v>-2415</v>
      </c>
      <c r="E16" s="24" t="n">
        <f aca="false">'Income Statement'!E11</f>
        <v>-2529</v>
      </c>
      <c r="F16" s="24" t="n">
        <f aca="false">'Income Statement'!F11</f>
        <v>-2617</v>
      </c>
    </row>
    <row r="17" customFormat="false" ht="15" hidden="false" customHeight="false" outlineLevel="0" collapsed="false">
      <c r="A17" s="37" t="s">
        <v>304</v>
      </c>
      <c r="B17" s="40" t="n">
        <f aca="false">'Income Statement'!B13</f>
        <v>8946</v>
      </c>
      <c r="C17" s="40" t="n">
        <f aca="false">'Income Statement'!C13</f>
        <v>3848</v>
      </c>
      <c r="D17" s="40" t="n">
        <f aca="false">'Income Statement'!D13</f>
        <v>5707</v>
      </c>
      <c r="E17" s="40" t="n">
        <f aca="false">'Income Statement'!E13</f>
        <v>5566</v>
      </c>
      <c r="F17" s="40" t="n">
        <f aca="false">'Income Statement'!F13</f>
        <v>5117</v>
      </c>
    </row>
    <row r="18" customFormat="false" ht="15" hidden="false" customHeight="false" outlineLevel="0" collapsed="false">
      <c r="A18" s="38" t="s">
        <v>305</v>
      </c>
      <c r="B18" s="39" t="n">
        <f aca="false">B17/B8</f>
        <v>0.0843922456487902</v>
      </c>
      <c r="C18" s="39" t="n">
        <f aca="false">C17/C8</f>
        <v>0.0352639296187683</v>
      </c>
      <c r="D18" s="39" t="n">
        <f aca="false">D17/D8</f>
        <v>0.053131866085726</v>
      </c>
      <c r="E18" s="39" t="n">
        <f aca="false">E17/E8</f>
        <v>0.0522305425745547</v>
      </c>
      <c r="F18" s="39" t="n">
        <f aca="false">F17/F8</f>
        <v>0.048835655659477</v>
      </c>
    </row>
    <row r="19" customFormat="false" ht="15" hidden="false" customHeight="false" outlineLevel="0" collapsed="false">
      <c r="A19" s="6" t="s">
        <v>306</v>
      </c>
      <c r="B19" s="24" t="n">
        <f aca="false">'Income Statement'!B15</f>
        <v>-421</v>
      </c>
      <c r="C19" s="24" t="n">
        <f aca="false">'Income Statement'!C15</f>
        <v>-478</v>
      </c>
      <c r="D19" s="24" t="n">
        <f aca="false">'Income Statement'!D15</f>
        <v>-502</v>
      </c>
      <c r="E19" s="24" t="n">
        <f aca="false">'Income Statement'!E15</f>
        <v>-411</v>
      </c>
      <c r="F19" s="24" t="n">
        <f aca="false">'Income Statement'!F15</f>
        <v>-445</v>
      </c>
    </row>
    <row r="20" customFormat="false" ht="15" hidden="false" customHeight="false" outlineLevel="0" collapsed="false">
      <c r="A20" s="6" t="s">
        <v>307</v>
      </c>
      <c r="B20" s="24" t="n">
        <f aca="false">'Income Statement'!B16</f>
        <v>382</v>
      </c>
      <c r="C20" s="24" t="n">
        <f aca="false">'Income Statement'!C16</f>
        <v>48</v>
      </c>
      <c r="D20" s="24" t="n">
        <f aca="false">'Income Statement'!D16</f>
        <v>92</v>
      </c>
      <c r="E20" s="24" t="n">
        <f aca="false">'Income Statement'!E16</f>
        <v>106</v>
      </c>
      <c r="F20" s="24" t="n">
        <f aca="false">'Income Statement'!F16</f>
        <v>95</v>
      </c>
    </row>
    <row r="21" customFormat="false" ht="15" hidden="false" customHeight="false" outlineLevel="0" collapsed="false">
      <c r="A21" s="37" t="s">
        <v>308</v>
      </c>
      <c r="B21" s="9" t="n">
        <f aca="false">'Income Statement'!B18</f>
        <v>8907</v>
      </c>
      <c r="C21" s="9" t="n">
        <f aca="false">'Income Statement'!C18</f>
        <v>3418</v>
      </c>
      <c r="D21" s="9" t="n">
        <f aca="false">'Income Statement'!D18</f>
        <v>5297</v>
      </c>
      <c r="E21" s="9" t="n">
        <f aca="false">'Income Statement'!E18</f>
        <v>5261</v>
      </c>
      <c r="F21" s="9" t="n">
        <f aca="false">'Income Statement'!F18</f>
        <v>4767</v>
      </c>
    </row>
    <row r="22" customFormat="false" ht="15" hidden="false" customHeight="false" outlineLevel="0" collapsed="false">
      <c r="A22" s="6" t="s">
        <v>309</v>
      </c>
      <c r="B22" s="24" t="n">
        <f aca="false">'Income Statement'!B19</f>
        <v>-1959.54</v>
      </c>
      <c r="C22" s="24" t="n">
        <f aca="false">'Income Statement'!C19</f>
        <v>-639.166</v>
      </c>
      <c r="D22" s="24" t="n">
        <f aca="false">'Income Statement'!D19</f>
        <v>-1160.043</v>
      </c>
      <c r="E22" s="24" t="n">
        <f aca="false">'Income Statement'!E19</f>
        <v>-1167.942</v>
      </c>
      <c r="F22" s="24" t="n">
        <f aca="false">'Income Statement'!F19</f>
        <v>-1063.041</v>
      </c>
    </row>
    <row r="23" customFormat="false" ht="15" hidden="false" customHeight="false" outlineLevel="0" collapsed="false">
      <c r="A23" s="38" t="s">
        <v>310</v>
      </c>
      <c r="B23" s="39" t="n">
        <f aca="false">Assumptions!B10</f>
        <v>0.22</v>
      </c>
      <c r="C23" s="39" t="n">
        <f aca="false">Assumptions!C10</f>
        <v>0.187</v>
      </c>
      <c r="D23" s="39" t="n">
        <f aca="false">Assumptions!D10</f>
        <v>0.219</v>
      </c>
      <c r="E23" s="39" t="n">
        <f aca="false">Assumptions!E10</f>
        <v>0.222</v>
      </c>
      <c r="F23" s="39" t="n">
        <f aca="false">Assumptions!F10</f>
        <v>0.223</v>
      </c>
    </row>
    <row r="24" customFormat="false" ht="15" hidden="false" customHeight="false" outlineLevel="0" collapsed="false">
      <c r="A24" s="37" t="s">
        <v>311</v>
      </c>
      <c r="B24" s="40" t="n">
        <f aca="false">'Income Statement'!B20</f>
        <v>6947.46</v>
      </c>
      <c r="C24" s="40" t="n">
        <f aca="false">'Income Statement'!C20</f>
        <v>2778.834</v>
      </c>
      <c r="D24" s="40" t="n">
        <f aca="false">'Income Statement'!D20</f>
        <v>4136.957</v>
      </c>
      <c r="E24" s="40" t="n">
        <f aca="false">'Income Statement'!E20</f>
        <v>4093.058</v>
      </c>
      <c r="F24" s="40" t="n">
        <f aca="false">'Income Statement'!F20</f>
        <v>3703.959</v>
      </c>
    </row>
    <row r="25" customFormat="false" ht="15" hidden="false" customHeight="false" outlineLevel="0" collapsed="false">
      <c r="A25" s="38" t="s">
        <v>312</v>
      </c>
      <c r="B25" s="39" t="n">
        <f aca="false">B24/B8</f>
        <v>0.0655389840101882</v>
      </c>
      <c r="C25" s="39" t="n">
        <f aca="false">C24/C8</f>
        <v>0.0254658541055718</v>
      </c>
      <c r="D25" s="39" t="n">
        <f aca="false">D24/D8</f>
        <v>0.0385148493650616</v>
      </c>
      <c r="E25" s="39" t="n">
        <f aca="false">E24/E8</f>
        <v>0.0384086669294146</v>
      </c>
      <c r="F25" s="39" t="n">
        <f aca="false">F24/F8</f>
        <v>0.035349866386715</v>
      </c>
    </row>
    <row r="26" customFormat="false" ht="15" hidden="false" customHeight="false" outlineLevel="0" collapsed="false">
      <c r="A26" s="37" t="s">
        <v>313</v>
      </c>
      <c r="B26" s="41" t="n">
        <f aca="false">'Capital Allocation'!B44</f>
        <v>14.1</v>
      </c>
      <c r="C26" s="41" t="n">
        <f aca="false">'Capital Allocation'!C44</f>
        <v>5.98</v>
      </c>
      <c r="D26" s="41" t="n">
        <f aca="false">'Capital Allocation'!D44</f>
        <v>8.94</v>
      </c>
      <c r="E26" s="41" t="n">
        <f aca="false">'Capital Allocation'!E44</f>
        <v>8.86</v>
      </c>
      <c r="F26" s="41" t="n">
        <f aca="false">'Capital Allocation'!F44</f>
        <v>8.13</v>
      </c>
    </row>
    <row r="28" customFormat="false" ht="15.75" hidden="false" customHeight="true" outlineLevel="0" collapsed="false">
      <c r="A28" s="5" t="s">
        <v>314</v>
      </c>
      <c r="B28" s="5"/>
      <c r="C28" s="5"/>
      <c r="D28" s="5"/>
      <c r="E28" s="5"/>
      <c r="F28" s="5"/>
    </row>
    <row r="29" customFormat="false" ht="15" hidden="false" customHeight="false" outlineLevel="0" collapsed="false">
      <c r="A29" s="6" t="s">
        <v>315</v>
      </c>
      <c r="B29" s="42" t="n">
        <f aca="false">'Revenue Build'!B16</f>
        <v>1926</v>
      </c>
      <c r="C29" s="42" t="n">
        <f aca="false">'Revenue Build'!C16</f>
        <v>1948</v>
      </c>
      <c r="D29" s="42" t="n">
        <f aca="false">'Revenue Build'!D16</f>
        <v>1956</v>
      </c>
      <c r="E29" s="42" t="n">
        <f aca="false">'Revenue Build'!E16</f>
        <v>1978</v>
      </c>
      <c r="F29" s="42" t="n">
        <f aca="false">'Revenue Build'!F16</f>
        <v>1995</v>
      </c>
    </row>
    <row r="30" customFormat="false" ht="15" hidden="false" customHeight="false" outlineLevel="0" collapsed="false">
      <c r="A30" s="6" t="s">
        <v>316</v>
      </c>
      <c r="B30" s="42" t="n">
        <f aca="false">'Revenue Build'!B18</f>
        <v>243284</v>
      </c>
      <c r="C30" s="42" t="n">
        <f aca="false">'Revenue Build'!C18</f>
        <v>244584</v>
      </c>
      <c r="D30" s="42" t="n">
        <f aca="false">'Revenue Build'!D18</f>
        <v>245939</v>
      </c>
      <c r="E30" s="42" t="n">
        <f aca="false">'Revenue Build'!E18</f>
        <v>248278</v>
      </c>
      <c r="F30" s="42" t="n">
        <f aca="false">'Revenue Build'!F18</f>
        <v>250518</v>
      </c>
    </row>
    <row r="31" customFormat="false" ht="15" hidden="false" customHeight="false" outlineLevel="0" collapsed="false">
      <c r="A31" s="6" t="s">
        <v>317</v>
      </c>
      <c r="B31" s="25" t="n">
        <f aca="false">'Revenue Build'!B34</f>
        <v>0.123</v>
      </c>
      <c r="C31" s="25" t="n">
        <f aca="false">'Revenue Build'!C34</f>
        <v>0.021</v>
      </c>
      <c r="D31" s="25" t="n">
        <f aca="false">'Revenue Build'!D34</f>
        <v>-0.024</v>
      </c>
      <c r="E31" s="25" t="n">
        <f aca="false">'Revenue Build'!E34</f>
        <v>0.014</v>
      </c>
      <c r="F31" s="25" t="n">
        <f aca="false">'Revenue Build'!F34</f>
        <v>-0.022</v>
      </c>
    </row>
    <row r="32" customFormat="false" ht="15" hidden="false" customHeight="false" outlineLevel="0" collapsed="false">
      <c r="A32" s="6" t="s">
        <v>318</v>
      </c>
      <c r="B32" s="25" t="n">
        <f aca="false">'Revenue Build'!B49</f>
        <v>0.004</v>
      </c>
      <c r="C32" s="25" t="n">
        <f aca="false">'Revenue Build'!C49</f>
        <v>0.001</v>
      </c>
      <c r="D32" s="25" t="n">
        <f aca="false">'Revenue Build'!D49</f>
        <v>-0.014</v>
      </c>
      <c r="E32" s="25" t="n">
        <f aca="false">'Revenue Build'!E49</f>
        <v>-0.013</v>
      </c>
      <c r="F32" s="25" t="n">
        <f aca="false">'Revenue Build'!F49</f>
        <v>-0.004</v>
      </c>
    </row>
    <row r="33" customFormat="false" ht="15" hidden="false" customHeight="false" outlineLevel="0" collapsed="false">
      <c r="A33" s="37" t="s">
        <v>319</v>
      </c>
      <c r="B33" s="43" t="n">
        <f aca="false">'Revenue Build'!B51</f>
        <v>0.127</v>
      </c>
      <c r="C33" s="43" t="n">
        <f aca="false">'Revenue Build'!C51</f>
        <v>0.022</v>
      </c>
      <c r="D33" s="43" t="n">
        <f aca="false">'Revenue Build'!D51</f>
        <v>-0.037</v>
      </c>
      <c r="E33" s="43" t="n">
        <f aca="false">'Revenue Build'!E51</f>
        <v>0.001</v>
      </c>
      <c r="F33" s="43" t="n">
        <f aca="false">'Revenue Build'!F51</f>
        <v>-0.026</v>
      </c>
    </row>
    <row r="34" customFormat="false" ht="15" hidden="false" customHeight="false" outlineLevel="0" collapsed="false">
      <c r="A34" s="6" t="s">
        <v>320</v>
      </c>
      <c r="B34" s="25" t="n">
        <f aca="false">'Revenue Build'!B75</f>
        <v>0.189</v>
      </c>
      <c r="C34" s="25" t="n">
        <f aca="false">'Revenue Build'!C75</f>
        <v>0.186</v>
      </c>
      <c r="D34" s="25" t="n">
        <f aca="false">'Revenue Build'!D75</f>
        <v>0.183</v>
      </c>
      <c r="E34" s="25" t="n">
        <f aca="false">'Revenue Build'!E75</f>
        <v>0.196</v>
      </c>
      <c r="F34" s="25" t="n">
        <f aca="false">'Revenue Build'!F75</f>
        <v>0.206</v>
      </c>
    </row>
    <row r="36" customFormat="false" ht="15.75" hidden="false" customHeight="true" outlineLevel="0" collapsed="false">
      <c r="A36" s="5" t="s">
        <v>321</v>
      </c>
      <c r="B36" s="5"/>
      <c r="C36" s="5"/>
      <c r="D36" s="5"/>
      <c r="E36" s="5"/>
      <c r="F36" s="5"/>
    </row>
    <row r="37" customFormat="false" ht="15" hidden="false" customHeight="false" outlineLevel="0" collapsed="false">
      <c r="A37" s="6" t="s">
        <v>322</v>
      </c>
      <c r="B37" s="24" t="n">
        <f aca="false">'Balance Sheet'!B8</f>
        <v>5911</v>
      </c>
      <c r="C37" s="24" t="n">
        <f aca="false">'Balance Sheet'!C8</f>
        <v>2229</v>
      </c>
      <c r="D37" s="24" t="n">
        <f aca="false">'Balance Sheet'!D8</f>
        <v>3805</v>
      </c>
      <c r="E37" s="24" t="n">
        <f aca="false">'Balance Sheet'!E8</f>
        <v>4762</v>
      </c>
      <c r="F37" s="24" t="n">
        <f aca="false">'Balance Sheet'!F8</f>
        <v>5488</v>
      </c>
    </row>
    <row r="38" customFormat="false" ht="15" hidden="false" customHeight="false" outlineLevel="0" collapsed="false">
      <c r="A38" s="6" t="s">
        <v>323</v>
      </c>
      <c r="B38" s="24" t="n">
        <f aca="false">'Balance Sheet'!B9</f>
        <v>13902</v>
      </c>
      <c r="C38" s="24" t="n">
        <f aca="false">'Balance Sheet'!C9</f>
        <v>13499</v>
      </c>
      <c r="D38" s="24" t="n">
        <f aca="false">'Balance Sheet'!D9</f>
        <v>11886</v>
      </c>
      <c r="E38" s="24" t="n">
        <f aca="false">'Balance Sheet'!E9</f>
        <v>12740</v>
      </c>
      <c r="F38" s="24" t="n">
        <f aca="false">'Balance Sheet'!F9</f>
        <v>12304</v>
      </c>
    </row>
    <row r="39" customFormat="false" ht="15" hidden="false" customHeight="false" outlineLevel="0" collapsed="false">
      <c r="A39" s="6" t="s">
        <v>324</v>
      </c>
      <c r="B39" s="24" t="n">
        <f aca="false">'Balance Sheet'!B11</f>
        <v>21573</v>
      </c>
      <c r="C39" s="24" t="n">
        <f aca="false">'Balance Sheet'!C11</f>
        <v>17846</v>
      </c>
      <c r="D39" s="24" t="n">
        <f aca="false">'Balance Sheet'!D11</f>
        <v>17498</v>
      </c>
      <c r="E39" s="24" t="n">
        <f aca="false">'Balance Sheet'!E11</f>
        <v>19454</v>
      </c>
      <c r="F39" s="24" t="n">
        <f aca="false">'Balance Sheet'!F11</f>
        <v>20005</v>
      </c>
    </row>
    <row r="40" customFormat="false" ht="15" hidden="false" customHeight="false" outlineLevel="0" collapsed="false">
      <c r="A40" s="6" t="s">
        <v>325</v>
      </c>
      <c r="B40" s="24" t="n">
        <f aca="false">'Balance Sheet'!B12</f>
        <v>28181</v>
      </c>
      <c r="C40" s="24" t="n">
        <f aca="false">'Balance Sheet'!C12</f>
        <v>31512</v>
      </c>
      <c r="D40" s="24" t="n">
        <f aca="false">'Balance Sheet'!D12</f>
        <v>33096</v>
      </c>
      <c r="E40" s="24" t="n">
        <f aca="false">'Balance Sheet'!E12</f>
        <v>33022</v>
      </c>
      <c r="F40" s="24" t="n">
        <f aca="false">'Balance Sheet'!F12</f>
        <v>33749</v>
      </c>
    </row>
    <row r="41" customFormat="false" ht="15" hidden="false" customHeight="false" outlineLevel="0" collapsed="false">
      <c r="A41" s="37" t="s">
        <v>326</v>
      </c>
      <c r="B41" s="40" t="n">
        <f aca="false">'Balance Sheet'!B16</f>
        <v>53811</v>
      </c>
      <c r="C41" s="40" t="n">
        <f aca="false">'Balance Sheet'!C16</f>
        <v>53335</v>
      </c>
      <c r="D41" s="40" t="n">
        <f aca="false">'Balance Sheet'!D16</f>
        <v>55356</v>
      </c>
      <c r="E41" s="40" t="n">
        <f aca="false">'Balance Sheet'!E16</f>
        <v>57769</v>
      </c>
      <c r="F41" s="40" t="n">
        <f aca="false">'Balance Sheet'!F16</f>
        <v>59490</v>
      </c>
    </row>
    <row r="42" customFormat="false" ht="15" hidden="false" customHeight="false" outlineLevel="0" collapsed="false">
      <c r="A42" s="6" t="s">
        <v>327</v>
      </c>
      <c r="B42" s="24" t="n">
        <f aca="false">'Balance Sheet'!B19</f>
        <v>15478</v>
      </c>
      <c r="C42" s="24" t="n">
        <f aca="false">'Balance Sheet'!C19</f>
        <v>13487</v>
      </c>
      <c r="D42" s="24" t="n">
        <f aca="false">'Balance Sheet'!D19</f>
        <v>12098</v>
      </c>
      <c r="E42" s="24" t="n">
        <f aca="false">'Balance Sheet'!E19</f>
        <v>13053</v>
      </c>
      <c r="F42" s="24" t="n">
        <f aca="false">'Balance Sheet'!F19</f>
        <v>12622</v>
      </c>
    </row>
    <row r="43" customFormat="false" ht="15" hidden="false" customHeight="false" outlineLevel="0" collapsed="false">
      <c r="A43" s="6" t="s">
        <v>328</v>
      </c>
      <c r="B43" s="24" t="n">
        <f aca="false">'Balance Sheet'!B22</f>
        <v>21747</v>
      </c>
      <c r="C43" s="24" t="n">
        <f aca="false">'Balance Sheet'!C22</f>
        <v>19500</v>
      </c>
      <c r="D43" s="24" t="n">
        <f aca="false">'Balance Sheet'!D22</f>
        <v>19304</v>
      </c>
      <c r="E43" s="24" t="n">
        <f aca="false">'Balance Sheet'!E22</f>
        <v>20799</v>
      </c>
      <c r="F43" s="24" t="n">
        <f aca="false">'Balance Sheet'!F22</f>
        <v>21230</v>
      </c>
    </row>
    <row r="44" customFormat="false" ht="15" hidden="false" customHeight="false" outlineLevel="0" collapsed="false">
      <c r="A44" s="6" t="s">
        <v>329</v>
      </c>
      <c r="B44" s="24" t="n">
        <f aca="false">'Balance Sheet'!B23</f>
        <v>13549</v>
      </c>
      <c r="C44" s="24" t="n">
        <f aca="false">'Balance Sheet'!C23</f>
        <v>16009</v>
      </c>
      <c r="D44" s="24" t="n">
        <f aca="false">'Balance Sheet'!D23</f>
        <v>14922</v>
      </c>
      <c r="E44" s="24" t="n">
        <f aca="false">'Balance Sheet'!E23</f>
        <v>14304</v>
      </c>
      <c r="F44" s="24" t="n">
        <f aca="false">'Balance Sheet'!F23</f>
        <v>14326</v>
      </c>
    </row>
    <row r="45" customFormat="false" ht="15" hidden="false" customHeight="false" outlineLevel="0" collapsed="false">
      <c r="A45" s="37" t="s">
        <v>330</v>
      </c>
      <c r="B45" s="9" t="n">
        <f aca="false">'Balance Sheet'!B27</f>
        <v>40984</v>
      </c>
      <c r="C45" s="9" t="n">
        <f aca="false">'Balance Sheet'!C27</f>
        <v>42103</v>
      </c>
      <c r="D45" s="9" t="n">
        <f aca="false">'Balance Sheet'!D27</f>
        <v>41924</v>
      </c>
      <c r="E45" s="9" t="n">
        <f aca="false">'Balance Sheet'!E27</f>
        <v>43103</v>
      </c>
      <c r="F45" s="9" t="n">
        <f aca="false">'Balance Sheet'!F27</f>
        <v>43325</v>
      </c>
    </row>
    <row r="46" customFormat="false" ht="15" hidden="false" customHeight="false" outlineLevel="0" collapsed="false">
      <c r="A46" s="37" t="s">
        <v>331</v>
      </c>
      <c r="B46" s="40" t="n">
        <f aca="false">'Balance Sheet'!B41</f>
        <v>12827</v>
      </c>
      <c r="C46" s="40" t="n">
        <f aca="false">'Balance Sheet'!C41</f>
        <v>11232</v>
      </c>
      <c r="D46" s="40" t="n">
        <f aca="false">'Balance Sheet'!D41</f>
        <v>13432</v>
      </c>
      <c r="E46" s="40" t="n">
        <f aca="false">'Balance Sheet'!E41</f>
        <v>14666</v>
      </c>
      <c r="F46" s="40" t="n">
        <f aca="false">'Balance Sheet'!F41</f>
        <v>16165</v>
      </c>
    </row>
    <row r="48" customFormat="false" ht="15.75" hidden="false" customHeight="true" outlineLevel="0" collapsed="false">
      <c r="A48" s="5" t="s">
        <v>332</v>
      </c>
      <c r="B48" s="5"/>
      <c r="C48" s="5"/>
      <c r="D48" s="5"/>
      <c r="E48" s="5"/>
      <c r="F48" s="5"/>
    </row>
    <row r="49" customFormat="false" ht="15" hidden="false" customHeight="false" outlineLevel="0" collapsed="false">
      <c r="A49" s="37" t="s">
        <v>333</v>
      </c>
      <c r="B49" s="44" t="n">
        <v>8625</v>
      </c>
      <c r="C49" s="9" t="n">
        <f aca="false">'Capital Allocation'!C15</f>
        <v>4291.834</v>
      </c>
      <c r="D49" s="9" t="n">
        <f aca="false">'Capital Allocation'!D15</f>
        <v>8322.957</v>
      </c>
      <c r="E49" s="9" t="n">
        <f aca="false">'Capital Allocation'!E15</f>
        <v>7200.058</v>
      </c>
      <c r="F49" s="9" t="n">
        <f aca="false">'Capital Allocation'!F15</f>
        <v>7075.959</v>
      </c>
    </row>
    <row r="50" customFormat="false" ht="15" hidden="false" customHeight="false" outlineLevel="0" collapsed="false">
      <c r="A50" s="45" t="s">
        <v>334</v>
      </c>
      <c r="B50" s="45"/>
      <c r="C50" s="45"/>
      <c r="D50" s="45"/>
      <c r="E50" s="45"/>
      <c r="F50" s="45"/>
    </row>
    <row r="51" customFormat="false" ht="15" hidden="false" customHeight="false" outlineLevel="0" collapsed="false">
      <c r="A51" s="6" t="s">
        <v>335</v>
      </c>
      <c r="B51" s="24" t="n">
        <f aca="false">'Capital Allocation'!B16</f>
        <v>-3544</v>
      </c>
      <c r="C51" s="24" t="n">
        <f aca="false">'Capital Allocation'!C16</f>
        <v>-5528</v>
      </c>
      <c r="D51" s="24" t="n">
        <f aca="false">'Capital Allocation'!D16</f>
        <v>-4806</v>
      </c>
      <c r="E51" s="24" t="n">
        <f aca="false">'Capital Allocation'!E16</f>
        <v>-2891</v>
      </c>
      <c r="F51" s="24" t="n">
        <f aca="false">'Capital Allocation'!F16</f>
        <v>-3727</v>
      </c>
    </row>
    <row r="52" customFormat="false" ht="15" hidden="false" customHeight="false" outlineLevel="0" collapsed="false">
      <c r="A52" s="6" t="s">
        <v>336</v>
      </c>
      <c r="B52" s="46" t="n">
        <v>-1548</v>
      </c>
      <c r="C52" s="46" t="n">
        <v>-1836</v>
      </c>
      <c r="D52" s="46" t="n">
        <v>-2011</v>
      </c>
      <c r="E52" s="46" t="n">
        <v>-2046</v>
      </c>
      <c r="F52" s="46" t="n">
        <v>-2053</v>
      </c>
    </row>
    <row r="53" customFormat="false" ht="15" hidden="false" customHeight="false" outlineLevel="0" collapsed="false">
      <c r="A53" s="6" t="s">
        <v>337</v>
      </c>
      <c r="B53" s="46" t="n">
        <v>-7356</v>
      </c>
      <c r="C53" s="46" t="n">
        <v>-2826</v>
      </c>
      <c r="D53" s="46" t="n">
        <v>0</v>
      </c>
      <c r="E53" s="46" t="n">
        <v>-1007</v>
      </c>
      <c r="F53" s="46" t="n">
        <v>-408</v>
      </c>
    </row>
    <row r="54" customFormat="false" ht="15" hidden="false" customHeight="false" outlineLevel="0" collapsed="false">
      <c r="A54" s="45" t="s">
        <v>338</v>
      </c>
      <c r="B54" s="45"/>
      <c r="C54" s="45"/>
      <c r="D54" s="45"/>
      <c r="E54" s="45"/>
      <c r="F54" s="45"/>
    </row>
    <row r="55" customFormat="false" ht="15" hidden="false" customHeight="false" outlineLevel="0" collapsed="false">
      <c r="A55" s="37" t="s">
        <v>339</v>
      </c>
      <c r="B55" s="47" t="n">
        <f aca="false">B49+B51</f>
        <v>5081</v>
      </c>
      <c r="C55" s="47" t="n">
        <f aca="false">C49+C51</f>
        <v>-1236.166</v>
      </c>
      <c r="D55" s="47" t="n">
        <f aca="false">D49+D51</f>
        <v>3516.957</v>
      </c>
      <c r="E55" s="47" t="n">
        <f aca="false">E49+E51</f>
        <v>4309.058</v>
      </c>
      <c r="F55" s="47" t="n">
        <f aca="false">F49+F51</f>
        <v>3348.959</v>
      </c>
    </row>
    <row r="57" customFormat="false" ht="15.75" hidden="false" customHeight="true" outlineLevel="0" collapsed="false">
      <c r="A57" s="5" t="s">
        <v>340</v>
      </c>
      <c r="B57" s="5"/>
      <c r="C57" s="5"/>
      <c r="D57" s="5"/>
      <c r="E57" s="5"/>
      <c r="F57" s="5"/>
    </row>
    <row r="58" customFormat="false" ht="15" hidden="false" customHeight="false" outlineLevel="0" collapsed="false">
      <c r="A58" s="38" t="s">
        <v>341</v>
      </c>
      <c r="B58" s="39" t="n">
        <f aca="false">-B52/B24</f>
        <v>0.222815244708138</v>
      </c>
      <c r="C58" s="39" t="n">
        <f aca="false">-C52/C24</f>
        <v>0.660708772096498</v>
      </c>
      <c r="D58" s="39" t="n">
        <f aca="false">-D52/D24</f>
        <v>0.486106091989837</v>
      </c>
      <c r="E58" s="39" t="n">
        <f aca="false">-E52/E24</f>
        <v>0.499870756778917</v>
      </c>
      <c r="F58" s="39" t="n">
        <f aca="false">-F52/F24</f>
        <v>0.554271794045237</v>
      </c>
    </row>
    <row r="59" customFormat="false" ht="15" hidden="false" customHeight="false" outlineLevel="0" collapsed="false">
      <c r="A59" s="38" t="s">
        <v>342</v>
      </c>
      <c r="B59" s="48" t="n">
        <f aca="false">('Balance Sheet'!B21+'Balance Sheet'!B23-'Balance Sheet'!B8)/(B17+'Capital Allocation'!B9)</f>
        <v>0.673886779426994</v>
      </c>
      <c r="C59" s="48" t="n">
        <f aca="false">('Balance Sheet'!C21+'Balance Sheet'!C23-'Balance Sheet'!C8)/(C17+'Capital Allocation'!C9)</f>
        <v>2.12431276725718</v>
      </c>
      <c r="D59" s="48" t="n">
        <f aca="false">('Balance Sheet'!D21+'Balance Sheet'!D23-'Balance Sheet'!D8)/(D17+'Capital Allocation'!D9)</f>
        <v>1.43782322519981</v>
      </c>
      <c r="E59" s="48" t="n">
        <f aca="false">('Balance Sheet'!E21+'Balance Sheet'!E23-'Balance Sheet'!E8)/(E17+'Capital Allocation'!E9)</f>
        <v>1.30782730782731</v>
      </c>
      <c r="F59" s="48" t="n">
        <f aca="false">('Balance Sheet'!F21+'Balance Sheet'!F23-'Balance Sheet'!F8)/(F17+'Capital Allocation'!F9)</f>
        <v>1.32929341897952</v>
      </c>
    </row>
    <row r="60" customFormat="false" ht="15" hidden="false" customHeight="false" outlineLevel="0" collapsed="false">
      <c r="A60" s="16" t="s">
        <v>343</v>
      </c>
      <c r="B60" s="16"/>
      <c r="C60" s="16"/>
      <c r="D60" s="16"/>
      <c r="E60" s="16"/>
      <c r="F60" s="16"/>
    </row>
  </sheetData>
  <mergeCells count="5">
    <mergeCell ref="A1:F1"/>
    <mergeCell ref="A2:F2"/>
    <mergeCell ref="A50:F50"/>
    <mergeCell ref="A54:F54"/>
    <mergeCell ref="A60:F60"/>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3" min="2" style="0" width="12"/>
  </cols>
  <sheetData>
    <row r="1" customFormat="false" ht="21.75" hidden="false" customHeight="true" outlineLevel="0" collapsed="false">
      <c r="A1" s="19" t="s">
        <v>344</v>
      </c>
      <c r="B1" s="19"/>
      <c r="C1" s="19"/>
      <c r="D1" s="19"/>
      <c r="E1" s="19"/>
      <c r="F1" s="19"/>
      <c r="G1" s="19"/>
      <c r="H1" s="19"/>
      <c r="I1" s="19"/>
      <c r="J1" s="19"/>
      <c r="K1" s="19"/>
      <c r="L1" s="19"/>
      <c r="M1" s="19"/>
    </row>
    <row r="2" customFormat="false" ht="15.75" hidden="false" customHeight="true" outlineLevel="0" collapsed="false">
      <c r="A2" s="20" t="s">
        <v>345</v>
      </c>
      <c r="B2" s="20"/>
      <c r="C2" s="20"/>
      <c r="D2" s="20"/>
      <c r="E2" s="20"/>
      <c r="F2" s="20"/>
      <c r="G2" s="20"/>
      <c r="H2" s="20"/>
      <c r="I2" s="20"/>
      <c r="J2" s="20"/>
      <c r="K2" s="20"/>
      <c r="L2" s="20"/>
      <c r="M2" s="20"/>
    </row>
    <row r="4" customFormat="false" ht="15.75" hidden="false" customHeight="true" outlineLevel="0" collapsed="false">
      <c r="A4" s="5" t="s">
        <v>346</v>
      </c>
      <c r="B4" s="5"/>
      <c r="C4" s="5"/>
      <c r="D4" s="5"/>
      <c r="E4" s="5"/>
      <c r="F4" s="5"/>
      <c r="G4" s="5"/>
      <c r="H4" s="5"/>
      <c r="I4" s="5"/>
      <c r="J4" s="5"/>
      <c r="K4" s="5"/>
      <c r="L4" s="5"/>
      <c r="M4" s="5"/>
    </row>
    <row r="5" customFormat="false" ht="15" hidden="false" customHeight="false" outlineLevel="0" collapsed="false">
      <c r="A5" s="6" t="s">
        <v>347</v>
      </c>
      <c r="B5" s="49" t="n">
        <v>2</v>
      </c>
    </row>
    <row r="6" customFormat="false" ht="15" hidden="false" customHeight="false" outlineLevel="0" collapsed="false">
      <c r="A6" s="38" t="s">
        <v>348</v>
      </c>
      <c r="B6" s="50" t="str">
        <f aca="false">CHOOSE(B5,"BULL CASE","BASE CASE","BEAR CASE")</f>
        <v>BASE CASE</v>
      </c>
    </row>
    <row r="7" customFormat="false" ht="15" hidden="false" customHeight="false" outlineLevel="0" collapsed="false">
      <c r="A7" s="16" t="s">
        <v>349</v>
      </c>
      <c r="B7" s="16"/>
      <c r="C7" s="16"/>
      <c r="D7" s="16"/>
      <c r="E7" s="16"/>
      <c r="F7" s="16"/>
      <c r="G7" s="16"/>
      <c r="H7" s="16"/>
      <c r="I7" s="16"/>
      <c r="J7" s="16"/>
      <c r="K7" s="16"/>
      <c r="L7" s="16"/>
      <c r="M7" s="16"/>
    </row>
    <row r="9" customFormat="false" ht="15.75" hidden="false" customHeight="true" outlineLevel="0" collapsed="false">
      <c r="A9" s="5" t="s">
        <v>350</v>
      </c>
      <c r="B9" s="5"/>
      <c r="C9" s="5"/>
      <c r="D9" s="5"/>
      <c r="E9" s="5"/>
      <c r="F9" s="5"/>
      <c r="G9" s="5"/>
      <c r="H9" s="5"/>
      <c r="I9" s="5"/>
      <c r="J9" s="5"/>
      <c r="K9" s="5"/>
      <c r="L9" s="5"/>
      <c r="M9" s="5"/>
    </row>
    <row r="10" customFormat="false" ht="15" hidden="false" customHeight="false" outlineLevel="0" collapsed="false">
      <c r="A10" s="6" t="s">
        <v>351</v>
      </c>
      <c r="B10" s="51" t="n">
        <v>0.22</v>
      </c>
      <c r="C10" s="51" t="n">
        <v>0.187</v>
      </c>
      <c r="D10" s="51" t="n">
        <v>0.219</v>
      </c>
      <c r="E10" s="51" t="n">
        <v>0.222</v>
      </c>
      <c r="F10" s="51" t="n">
        <v>0.223</v>
      </c>
      <c r="G10" s="51" t="n">
        <v>0.225</v>
      </c>
      <c r="H10" s="51" t="n">
        <v>0.225</v>
      </c>
      <c r="I10" s="51" t="n">
        <v>0.225</v>
      </c>
      <c r="J10" s="51" t="n">
        <v>0.225</v>
      </c>
      <c r="K10" s="51" t="n">
        <v>0.225</v>
      </c>
      <c r="L10" s="51" t="n">
        <v>0.225</v>
      </c>
      <c r="M10" s="51" t="n">
        <v>0.225</v>
      </c>
    </row>
    <row r="11" customFormat="false" ht="15" hidden="false" customHeight="false" outlineLevel="0" collapsed="false">
      <c r="A11" s="16" t="s">
        <v>352</v>
      </c>
      <c r="B11" s="16"/>
      <c r="C11" s="16"/>
      <c r="D11" s="16"/>
      <c r="E11" s="16"/>
      <c r="F11" s="16"/>
      <c r="G11" s="16"/>
      <c r="H11" s="16"/>
      <c r="I11" s="16"/>
      <c r="J11" s="16"/>
      <c r="K11" s="16"/>
      <c r="L11" s="16"/>
      <c r="M11" s="16"/>
    </row>
    <row r="13" customFormat="false" ht="15.75" hidden="false" customHeight="true" outlineLevel="0" collapsed="false">
      <c r="A13" s="5" t="s">
        <v>353</v>
      </c>
      <c r="B13" s="5"/>
      <c r="C13" s="5"/>
      <c r="D13" s="5"/>
      <c r="E13" s="5"/>
      <c r="F13" s="5"/>
      <c r="G13" s="5"/>
      <c r="H13" s="5"/>
      <c r="I13" s="5"/>
      <c r="J13" s="5"/>
      <c r="K13" s="5"/>
      <c r="L13" s="5"/>
      <c r="M13" s="5"/>
    </row>
    <row r="14" customFormat="false" ht="15" hidden="false" customHeight="false" outlineLevel="0" collapsed="false">
      <c r="A14" s="6" t="s">
        <v>354</v>
      </c>
      <c r="B14" s="52" t="n">
        <v>0.0463</v>
      </c>
    </row>
    <row r="15" customFormat="false" ht="15" hidden="false" customHeight="false" outlineLevel="0" collapsed="false">
      <c r="A15" s="16" t="s">
        <v>355</v>
      </c>
      <c r="B15" s="16"/>
      <c r="C15" s="16"/>
      <c r="D15" s="16"/>
      <c r="E15" s="16"/>
      <c r="F15" s="16"/>
      <c r="G15" s="16"/>
      <c r="H15" s="16"/>
      <c r="I15" s="16"/>
      <c r="J15" s="16"/>
      <c r="K15" s="16"/>
      <c r="L15" s="16"/>
      <c r="M15" s="16"/>
    </row>
    <row r="16" customFormat="false" ht="15" hidden="false" customHeight="false" outlineLevel="0" collapsed="false">
      <c r="A16" s="6" t="s">
        <v>356</v>
      </c>
      <c r="B16" s="51" t="n">
        <v>0.045</v>
      </c>
    </row>
    <row r="17" customFormat="false" ht="15" hidden="false" customHeight="false" outlineLevel="0" collapsed="false">
      <c r="A17" s="16" t="s">
        <v>357</v>
      </c>
      <c r="B17" s="16"/>
      <c r="C17" s="16"/>
      <c r="D17" s="16"/>
      <c r="E17" s="16"/>
      <c r="F17" s="16"/>
      <c r="G17" s="16"/>
      <c r="H17" s="16"/>
      <c r="I17" s="16"/>
      <c r="J17" s="16"/>
      <c r="K17" s="16"/>
      <c r="L17" s="16"/>
      <c r="M17" s="16"/>
    </row>
    <row r="18" customFormat="false" ht="15" hidden="false" customHeight="false" outlineLevel="0" collapsed="false">
      <c r="A18" s="6" t="s">
        <v>358</v>
      </c>
      <c r="B18" s="53" t="n">
        <v>0.97</v>
      </c>
    </row>
    <row r="19" customFormat="false" ht="15" hidden="false" customHeight="false" outlineLevel="0" collapsed="false">
      <c r="A19" s="6" t="s">
        <v>359</v>
      </c>
      <c r="B19" s="54" t="n">
        <v>15357</v>
      </c>
    </row>
    <row r="20" customFormat="false" ht="15" hidden="false" customHeight="false" outlineLevel="0" collapsed="false">
      <c r="A20" s="6" t="s">
        <v>360</v>
      </c>
      <c r="B20" s="54" t="n">
        <v>72600</v>
      </c>
    </row>
    <row r="21" customFormat="false" ht="15" hidden="false" customHeight="false" outlineLevel="0" collapsed="false">
      <c r="A21" s="16" t="s">
        <v>361</v>
      </c>
      <c r="B21" s="16"/>
      <c r="C21" s="16"/>
      <c r="D21" s="16"/>
      <c r="E21" s="16"/>
      <c r="F21" s="16"/>
      <c r="G21" s="16"/>
      <c r="H21" s="16"/>
      <c r="I21" s="16"/>
      <c r="J21" s="16"/>
      <c r="K21" s="16"/>
      <c r="L21" s="16"/>
      <c r="M21" s="16"/>
    </row>
    <row r="22" customFormat="false" ht="15" hidden="false" customHeight="false" outlineLevel="0" collapsed="false">
      <c r="A22" s="6" t="s">
        <v>362</v>
      </c>
      <c r="B22" s="55" t="n">
        <f aca="false">'Trading Comps'!F38</f>
        <v>0.581489279325362</v>
      </c>
    </row>
    <row r="23" customFormat="false" ht="15" hidden="false" customHeight="false" outlineLevel="0" collapsed="false">
      <c r="A23" s="6" t="s">
        <v>363</v>
      </c>
      <c r="B23" s="56" t="n">
        <f aca="false">B22*(1+(1-B10)*(B19/B20))</f>
        <v>0.677430685287176</v>
      </c>
    </row>
    <row r="24" customFormat="false" ht="15" hidden="false" customHeight="false" outlineLevel="0" collapsed="false">
      <c r="A24" s="6" t="s">
        <v>364</v>
      </c>
      <c r="B24" s="57" t="n">
        <f aca="false">AVERAGE(B18,B23)</f>
        <v>0.823715342643588</v>
      </c>
    </row>
    <row r="25" customFormat="false" ht="15" hidden="false" customHeight="false" outlineLevel="0" collapsed="false">
      <c r="A25" s="16" t="s">
        <v>365</v>
      </c>
      <c r="B25" s="16"/>
      <c r="C25" s="16"/>
      <c r="D25" s="16"/>
      <c r="E25" s="16"/>
      <c r="F25" s="16"/>
      <c r="G25" s="16"/>
      <c r="H25" s="16"/>
      <c r="I25" s="16"/>
      <c r="J25" s="16"/>
      <c r="K25" s="16"/>
      <c r="L25" s="16"/>
      <c r="M25" s="16"/>
    </row>
    <row r="26" customFormat="false" ht="15" hidden="false" customHeight="false" outlineLevel="0" collapsed="false">
      <c r="A26" s="6" t="s">
        <v>268</v>
      </c>
      <c r="B26" s="51" t="n">
        <v>0.025</v>
      </c>
    </row>
    <row r="27" customFormat="false" ht="15" hidden="false" customHeight="false" outlineLevel="0" collapsed="false">
      <c r="A27" s="45" t="s">
        <v>366</v>
      </c>
      <c r="B27" s="45"/>
      <c r="C27" s="45"/>
      <c r="D27" s="45"/>
      <c r="E27" s="45"/>
      <c r="F27" s="45"/>
      <c r="G27" s="45"/>
      <c r="H27" s="45"/>
      <c r="I27" s="45"/>
      <c r="J27" s="45"/>
      <c r="K27" s="45"/>
      <c r="L27" s="45"/>
      <c r="M27" s="45"/>
    </row>
    <row r="28" customFormat="false" ht="15" hidden="false" customHeight="false" outlineLevel="0" collapsed="false">
      <c r="A28" s="6" t="s">
        <v>367</v>
      </c>
      <c r="B28" s="58" t="n">
        <v>9</v>
      </c>
    </row>
    <row r="29" customFormat="false" ht="15" hidden="false" customHeight="false" outlineLevel="0" collapsed="false">
      <c r="A29" s="16" t="s">
        <v>368</v>
      </c>
      <c r="B29" s="16"/>
      <c r="C29" s="16"/>
      <c r="D29" s="16"/>
      <c r="E29" s="16"/>
      <c r="F29" s="16"/>
      <c r="G29" s="16"/>
      <c r="H29" s="16"/>
      <c r="I29" s="16"/>
      <c r="J29" s="16"/>
      <c r="K29" s="16"/>
      <c r="L29" s="16"/>
      <c r="M29" s="16"/>
    </row>
  </sheetData>
  <mergeCells count="10">
    <mergeCell ref="A1:M1"/>
    <mergeCell ref="A2:M2"/>
    <mergeCell ref="A7:M7"/>
    <mergeCell ref="A11:M11"/>
    <mergeCell ref="A15:M15"/>
    <mergeCell ref="A17:M17"/>
    <mergeCell ref="A21:M21"/>
    <mergeCell ref="A25:M25"/>
    <mergeCell ref="A27:M27"/>
    <mergeCell ref="A29:M29"/>
  </mergeCells>
  <dataValidations count="1">
    <dataValidation allowBlank="false" errorStyle="stop" operator="between" showDropDown="false" showErrorMessage="false" showInputMessage="false" sqref="B5" type="list">
      <formula1>"1,2,3"</formula1>
      <formula2>0</formula2>
    </dataValidation>
  </dataValidation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7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3" min="2" style="0" width="12"/>
  </cols>
  <sheetData>
    <row r="1" customFormat="false" ht="21.75" hidden="false" customHeight="true" outlineLevel="0" collapsed="false">
      <c r="A1" s="19" t="s">
        <v>164</v>
      </c>
      <c r="B1" s="19"/>
      <c r="C1" s="19"/>
      <c r="D1" s="19"/>
      <c r="E1" s="19"/>
      <c r="F1" s="19"/>
      <c r="G1" s="19"/>
      <c r="H1" s="19"/>
      <c r="I1" s="19"/>
      <c r="J1" s="19"/>
      <c r="K1" s="19"/>
      <c r="L1" s="19"/>
      <c r="M1" s="19"/>
    </row>
    <row r="2" customFormat="false" ht="15.75" hidden="false" customHeight="true" outlineLevel="0" collapsed="false">
      <c r="A2" s="20" t="s">
        <v>369</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A5" s="6"/>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384</v>
      </c>
      <c r="B7" s="5"/>
      <c r="C7" s="5"/>
      <c r="D7" s="5"/>
      <c r="E7" s="5"/>
      <c r="F7" s="5"/>
      <c r="G7" s="5"/>
      <c r="H7" s="5"/>
      <c r="I7" s="5"/>
      <c r="J7" s="5"/>
      <c r="K7" s="5"/>
      <c r="L7" s="5"/>
      <c r="M7" s="5"/>
    </row>
    <row r="8" customFormat="false" ht="15" hidden="false" customHeight="false" outlineLevel="0" collapsed="false">
      <c r="A8" s="6" t="s">
        <v>385</v>
      </c>
      <c r="B8" s="59" t="n">
        <v>1897</v>
      </c>
      <c r="C8" s="59" t="n">
        <v>1926</v>
      </c>
      <c r="D8" s="59" t="n">
        <v>1948</v>
      </c>
      <c r="E8" s="59" t="n">
        <v>1956</v>
      </c>
      <c r="F8" s="59" t="n">
        <v>1978</v>
      </c>
      <c r="G8" s="60" t="n">
        <f aca="false">F16</f>
        <v>1995</v>
      </c>
      <c r="H8" s="60" t="n">
        <f aca="false">G16</f>
        <v>2027</v>
      </c>
      <c r="I8" s="60" t="n">
        <f aca="false">H16</f>
        <v>2057</v>
      </c>
      <c r="J8" s="60" t="n">
        <f aca="false">I16</f>
        <v>2085</v>
      </c>
      <c r="K8" s="60" t="n">
        <f aca="false">J16</f>
        <v>2112</v>
      </c>
      <c r="L8" s="60" t="n">
        <f aca="false">K16</f>
        <v>2138</v>
      </c>
      <c r="M8" s="60" t="n">
        <f aca="false">L16</f>
        <v>2163</v>
      </c>
    </row>
    <row r="9" customFormat="false" ht="15" hidden="false" customHeight="false" outlineLevel="0" collapsed="false">
      <c r="A9" s="38" t="s">
        <v>386</v>
      </c>
      <c r="G9" s="59" t="n">
        <v>35</v>
      </c>
      <c r="H9" s="59" t="n">
        <v>34</v>
      </c>
      <c r="I9" s="59" t="n">
        <v>33</v>
      </c>
      <c r="J9" s="59" t="n">
        <v>32</v>
      </c>
      <c r="K9" s="59" t="n">
        <v>31</v>
      </c>
      <c r="L9" s="59" t="n">
        <v>30</v>
      </c>
      <c r="M9" s="59" t="n">
        <v>30</v>
      </c>
    </row>
    <row r="10" customFormat="false" ht="15" hidden="false" customHeight="false" outlineLevel="0" collapsed="false">
      <c r="A10" s="38" t="s">
        <v>387</v>
      </c>
      <c r="G10" s="59" t="n">
        <v>32</v>
      </c>
      <c r="H10" s="59" t="n">
        <v>30</v>
      </c>
      <c r="I10" s="59" t="n">
        <v>28</v>
      </c>
      <c r="J10" s="59" t="n">
        <v>27</v>
      </c>
      <c r="K10" s="59" t="n">
        <v>26</v>
      </c>
      <c r="L10" s="59" t="n">
        <v>25</v>
      </c>
      <c r="M10" s="59" t="n">
        <v>25</v>
      </c>
    </row>
    <row r="11" customFormat="false" ht="15" hidden="false" customHeight="false" outlineLevel="0" collapsed="false">
      <c r="A11" s="38" t="s">
        <v>388</v>
      </c>
      <c r="G11" s="59" t="n">
        <v>25</v>
      </c>
      <c r="H11" s="59" t="n">
        <v>20</v>
      </c>
      <c r="I11" s="59" t="n">
        <v>18</v>
      </c>
      <c r="J11" s="59" t="n">
        <v>16</v>
      </c>
      <c r="K11" s="59" t="n">
        <v>15</v>
      </c>
      <c r="L11" s="59" t="n">
        <v>15</v>
      </c>
      <c r="M11" s="59" t="n">
        <v>15</v>
      </c>
    </row>
    <row r="12" customFormat="false" ht="15" hidden="false" customHeight="false" outlineLevel="0" collapsed="false">
      <c r="A12" s="37" t="s">
        <v>389</v>
      </c>
      <c r="B12" s="61" t="n">
        <v>29</v>
      </c>
      <c r="C12" s="61" t="n">
        <v>22</v>
      </c>
      <c r="D12" s="61" t="n">
        <v>8</v>
      </c>
      <c r="E12" s="61" t="n">
        <v>22</v>
      </c>
      <c r="F12" s="61" t="n">
        <v>17</v>
      </c>
      <c r="G12" s="62" t="n">
        <f aca="false">CHOOSE(Assumptions!B5,G9,G10,G11)</f>
        <v>32</v>
      </c>
      <c r="H12" s="62" t="n">
        <f aca="false">CHOOSE(Assumptions!B5,H9,H10,H11)</f>
        <v>30</v>
      </c>
      <c r="I12" s="62" t="n">
        <f aca="false">CHOOSE(Assumptions!B5,I9,I10,I11)</f>
        <v>28</v>
      </c>
      <c r="J12" s="62" t="n">
        <f aca="false">CHOOSE(Assumptions!B5,J9,J10,J11)</f>
        <v>27</v>
      </c>
      <c r="K12" s="62" t="n">
        <f aca="false">CHOOSE(Assumptions!B5,K9,K10,K11)</f>
        <v>26</v>
      </c>
      <c r="L12" s="62" t="n">
        <f aca="false">CHOOSE(Assumptions!B5,L9,L10,L11)</f>
        <v>25</v>
      </c>
      <c r="M12" s="62" t="n">
        <f aca="false">CHOOSE(Assumptions!B5,M9,M10,M11)</f>
        <v>25</v>
      </c>
    </row>
    <row r="13" customFormat="false" ht="15" hidden="false" customHeight="false" outlineLevel="0" collapsed="false">
      <c r="A13" s="16" t="s">
        <v>390</v>
      </c>
      <c r="B13" s="16"/>
      <c r="C13" s="16"/>
      <c r="D13" s="16"/>
      <c r="E13" s="16"/>
      <c r="F13" s="16"/>
      <c r="G13" s="16"/>
      <c r="H13" s="16"/>
      <c r="I13" s="16"/>
      <c r="J13" s="16"/>
      <c r="K13" s="16"/>
      <c r="L13" s="16"/>
      <c r="M13" s="16"/>
    </row>
    <row r="14" customFormat="false" ht="15" hidden="false" customHeight="false" outlineLevel="0" collapsed="false">
      <c r="A14" s="6" t="s">
        <v>391</v>
      </c>
      <c r="B14" s="59" t="n">
        <v>0</v>
      </c>
      <c r="C14" s="59" t="n">
        <v>0</v>
      </c>
      <c r="D14" s="59" t="n">
        <v>0</v>
      </c>
      <c r="E14" s="59" t="n">
        <v>0</v>
      </c>
      <c r="F14" s="59" t="n">
        <v>0</v>
      </c>
      <c r="G14" s="59" t="n">
        <v>0</v>
      </c>
      <c r="H14" s="59" t="n">
        <v>0</v>
      </c>
      <c r="I14" s="59" t="n">
        <v>0</v>
      </c>
      <c r="J14" s="59" t="n">
        <v>0</v>
      </c>
      <c r="K14" s="59" t="n">
        <v>0</v>
      </c>
      <c r="L14" s="59" t="n">
        <v>0</v>
      </c>
      <c r="M14" s="59" t="n">
        <v>0</v>
      </c>
    </row>
    <row r="15" customFormat="false" ht="15" hidden="false" customHeight="false" outlineLevel="0" collapsed="false">
      <c r="A15" s="45" t="s">
        <v>392</v>
      </c>
      <c r="B15" s="45"/>
      <c r="C15" s="45"/>
      <c r="D15" s="45"/>
      <c r="E15" s="45"/>
      <c r="F15" s="45"/>
      <c r="G15" s="45"/>
      <c r="H15" s="45"/>
      <c r="I15" s="45"/>
      <c r="J15" s="45"/>
      <c r="K15" s="45"/>
      <c r="L15" s="45"/>
      <c r="M15" s="45"/>
    </row>
    <row r="16" customFormat="false" ht="15" hidden="false" customHeight="false" outlineLevel="0" collapsed="false">
      <c r="A16" s="37" t="s">
        <v>393</v>
      </c>
      <c r="B16" s="61" t="n">
        <f aca="false">B8+B12-B14</f>
        <v>1926</v>
      </c>
      <c r="C16" s="61" t="n">
        <f aca="false">C8+C12-C14</f>
        <v>1948</v>
      </c>
      <c r="D16" s="61" t="n">
        <f aca="false">D8+D12-D14</f>
        <v>1956</v>
      </c>
      <c r="E16" s="61" t="n">
        <f aca="false">E8+E12-E14</f>
        <v>1978</v>
      </c>
      <c r="F16" s="61" t="n">
        <f aca="false">F8+F12-F14</f>
        <v>1995</v>
      </c>
      <c r="G16" s="61" t="n">
        <f aca="false">G8+G12-G14</f>
        <v>2027</v>
      </c>
      <c r="H16" s="61" t="n">
        <f aca="false">H8+H12-H14</f>
        <v>2057</v>
      </c>
      <c r="I16" s="61" t="n">
        <f aca="false">I8+I12-I14</f>
        <v>2085</v>
      </c>
      <c r="J16" s="61" t="n">
        <f aca="false">J8+J12-J14</f>
        <v>2112</v>
      </c>
      <c r="K16" s="61" t="n">
        <f aca="false">K8+K12-K14</f>
        <v>2138</v>
      </c>
      <c r="L16" s="61" t="n">
        <f aca="false">L8+L12-L14</f>
        <v>2163</v>
      </c>
      <c r="M16" s="61" t="n">
        <f aca="false">M8+M12-M14</f>
        <v>2188</v>
      </c>
    </row>
    <row r="17" customFormat="false" ht="15" hidden="false" customHeight="false" outlineLevel="0" collapsed="false">
      <c r="A17" s="38" t="s">
        <v>394</v>
      </c>
      <c r="B17" s="63" t="n">
        <f aca="false">AVERAGE(B8,B16)</f>
        <v>1911.5</v>
      </c>
      <c r="C17" s="63" t="n">
        <f aca="false">AVERAGE(C8,C16)</f>
        <v>1937</v>
      </c>
      <c r="D17" s="63" t="n">
        <f aca="false">AVERAGE(D8,D16)</f>
        <v>1952</v>
      </c>
      <c r="E17" s="63" t="n">
        <f aca="false">AVERAGE(E8,E16)</f>
        <v>1967</v>
      </c>
      <c r="F17" s="63" t="n">
        <f aca="false">AVERAGE(F8,F16)</f>
        <v>1986.5</v>
      </c>
      <c r="G17" s="63" t="n">
        <f aca="false">AVERAGE(G8,G16)</f>
        <v>2011</v>
      </c>
      <c r="H17" s="63" t="n">
        <f aca="false">AVERAGE(H8,H16)</f>
        <v>2042</v>
      </c>
      <c r="I17" s="63" t="n">
        <f aca="false">AVERAGE(I8,I16)</f>
        <v>2071</v>
      </c>
      <c r="J17" s="63" t="n">
        <f aca="false">AVERAGE(J8,J16)</f>
        <v>2098.5</v>
      </c>
      <c r="K17" s="63" t="n">
        <f aca="false">AVERAGE(K8,K16)</f>
        <v>2125</v>
      </c>
      <c r="L17" s="63" t="n">
        <f aca="false">AVERAGE(L8,L16)</f>
        <v>2150.5</v>
      </c>
      <c r="M17" s="63" t="n">
        <f aca="false">AVERAGE(M8,M16)</f>
        <v>2175.5</v>
      </c>
    </row>
    <row r="18" customFormat="false" ht="15" hidden="false" customHeight="false" outlineLevel="0" collapsed="false">
      <c r="A18" s="38" t="s">
        <v>395</v>
      </c>
      <c r="B18" s="64" t="n">
        <v>243284</v>
      </c>
      <c r="C18" s="64" t="n">
        <v>244584</v>
      </c>
      <c r="D18" s="64" t="n">
        <v>245939</v>
      </c>
      <c r="E18" s="64" t="n">
        <v>248278</v>
      </c>
      <c r="F18" s="64" t="n">
        <v>250518</v>
      </c>
      <c r="G18" s="63" t="n">
        <f aca="false">F18*(1+G12/G17)</f>
        <v>254504.363003481</v>
      </c>
      <c r="H18" s="63" t="n">
        <f aca="false">G18*(1+H12/H17)</f>
        <v>258243.408493248</v>
      </c>
      <c r="I18" s="63" t="n">
        <f aca="false">H18*(1+I12/I17)</f>
        <v>261734.869351679</v>
      </c>
      <c r="J18" s="63" t="n">
        <f aca="false">I18*(1+J12/J17)</f>
        <v>265102.437363352</v>
      </c>
      <c r="K18" s="63" t="n">
        <f aca="false">J18*(1+K12/K17)</f>
        <v>268346.043655798</v>
      </c>
      <c r="L18" s="63" t="n">
        <f aca="false">K18*(1+L12/L17)</f>
        <v>271465.6210059</v>
      </c>
      <c r="M18" s="63" t="n">
        <f aca="false">L18*(1+M12/M17)</f>
        <v>274585.198356002</v>
      </c>
    </row>
    <row r="20" customFormat="false" ht="15.75" hidden="false" customHeight="true" outlineLevel="0" collapsed="false">
      <c r="A20" s="5" t="s">
        <v>396</v>
      </c>
      <c r="B20" s="5"/>
      <c r="C20" s="5"/>
      <c r="D20" s="5"/>
      <c r="E20" s="5"/>
      <c r="F20" s="5"/>
      <c r="G20" s="5"/>
      <c r="H20" s="5"/>
      <c r="I20" s="5"/>
      <c r="J20" s="5"/>
      <c r="K20" s="5"/>
      <c r="L20" s="5"/>
      <c r="M20" s="5"/>
    </row>
    <row r="21" customFormat="false" ht="15" hidden="false" customHeight="false" outlineLevel="0" collapsed="false">
      <c r="A21" s="38" t="s">
        <v>397</v>
      </c>
      <c r="B21" s="65" t="n">
        <v>52.5</v>
      </c>
      <c r="C21" s="66" t="n">
        <f aca="false">B70/B17</f>
        <v>54.7271776092074</v>
      </c>
      <c r="D21" s="66" t="n">
        <f aca="false">C70/C17</f>
        <v>55.5436241610738</v>
      </c>
      <c r="E21" s="66" t="n">
        <f aca="false">D70/D17</f>
        <v>54.2023565573771</v>
      </c>
      <c r="F21" s="66" t="n">
        <f aca="false">E70/E17</f>
        <v>53.2608032536858</v>
      </c>
      <c r="G21" s="66" t="n">
        <f aca="false">F21*(1+G51)</f>
        <v>55.0237874866172</v>
      </c>
      <c r="H21" s="66" t="n">
        <f aca="false">G21*(1+H51)</f>
        <v>56.5617410413632</v>
      </c>
      <c r="I21" s="66" t="n">
        <f aca="false">H21*(1+I51)</f>
        <v>58.083515484224</v>
      </c>
      <c r="J21" s="66" t="n">
        <f aca="false">I21*(1+J51)</f>
        <v>59.5012806221632</v>
      </c>
      <c r="K21" s="66" t="n">
        <f aca="false">J21*(1+K51)</f>
        <v>60.9263432932147</v>
      </c>
      <c r="L21" s="66" t="n">
        <f aca="false">K21*(1+L51)</f>
        <v>62.3220664603845</v>
      </c>
      <c r="M21" s="66" t="n">
        <f aca="false">L21*(1+M51)</f>
        <v>63.7477492039284</v>
      </c>
    </row>
    <row r="22" customFormat="false" ht="15" hidden="false" customHeight="false" outlineLevel="0" collapsed="false">
      <c r="A22" s="16" t="s">
        <v>398</v>
      </c>
      <c r="B22" s="16"/>
      <c r="C22" s="16"/>
      <c r="D22" s="16"/>
      <c r="E22" s="16"/>
      <c r="F22" s="16"/>
      <c r="G22" s="16"/>
      <c r="H22" s="16"/>
      <c r="I22" s="16"/>
      <c r="J22" s="16"/>
      <c r="K22" s="16"/>
      <c r="L22" s="16"/>
      <c r="M22" s="16"/>
    </row>
    <row r="23" customFormat="false" ht="15" hidden="false" customHeight="false" outlineLevel="0" collapsed="false">
      <c r="A23" s="6" t="s">
        <v>399</v>
      </c>
      <c r="G23" s="51" t="n">
        <v>0.7</v>
      </c>
      <c r="H23" s="51" t="n">
        <v>0.7</v>
      </c>
      <c r="I23" s="51" t="n">
        <v>0.7</v>
      </c>
      <c r="J23" s="51" t="n">
        <v>0.7</v>
      </c>
      <c r="K23" s="51" t="n">
        <v>0.7</v>
      </c>
      <c r="L23" s="51" t="n">
        <v>0.7</v>
      </c>
      <c r="M23" s="51" t="n">
        <v>0.7</v>
      </c>
    </row>
    <row r="24" customFormat="false" ht="15" hidden="false" customHeight="false" outlineLevel="0" collapsed="false">
      <c r="A24" s="6" t="s">
        <v>400</v>
      </c>
      <c r="G24" s="51" t="n">
        <v>0.9</v>
      </c>
      <c r="H24" s="51" t="n">
        <v>0.9</v>
      </c>
      <c r="I24" s="51" t="n">
        <v>0.9</v>
      </c>
      <c r="J24" s="51" t="n">
        <v>0.9</v>
      </c>
      <c r="K24" s="51" t="n">
        <v>0.9</v>
      </c>
      <c r="L24" s="51" t="n">
        <v>0.9</v>
      </c>
      <c r="M24" s="51" t="n">
        <v>0.9</v>
      </c>
    </row>
    <row r="25" customFormat="false" ht="15" hidden="false" customHeight="false" outlineLevel="0" collapsed="false">
      <c r="A25" s="45" t="s">
        <v>401</v>
      </c>
      <c r="B25" s="45"/>
      <c r="C25" s="45"/>
      <c r="D25" s="45"/>
      <c r="E25" s="45"/>
      <c r="F25" s="45"/>
      <c r="G25" s="45"/>
      <c r="H25" s="45"/>
      <c r="I25" s="45"/>
      <c r="J25" s="45"/>
      <c r="K25" s="45"/>
      <c r="L25" s="45"/>
      <c r="M25" s="45"/>
    </row>
    <row r="26" customFormat="false" ht="15" hidden="false" customHeight="false" outlineLevel="0" collapsed="false">
      <c r="A26" s="38" t="s">
        <v>402</v>
      </c>
      <c r="G26" s="63" t="n">
        <f aca="false">F12</f>
        <v>17</v>
      </c>
      <c r="H26" s="63" t="n">
        <f aca="false">G12</f>
        <v>32</v>
      </c>
      <c r="I26" s="63" t="n">
        <f aca="false">H12</f>
        <v>30</v>
      </c>
      <c r="J26" s="63" t="n">
        <f aca="false">I12</f>
        <v>28</v>
      </c>
      <c r="K26" s="63" t="n">
        <f aca="false">J12</f>
        <v>27</v>
      </c>
      <c r="L26" s="63" t="n">
        <f aca="false">K12</f>
        <v>26</v>
      </c>
      <c r="M26" s="63" t="n">
        <f aca="false">L12</f>
        <v>25</v>
      </c>
    </row>
    <row r="27" customFormat="false" ht="15" hidden="false" customHeight="false" outlineLevel="0" collapsed="false">
      <c r="A27" s="37" t="s">
        <v>403</v>
      </c>
      <c r="G27" s="67" t="n">
        <f aca="false">G12*0.5*G23*G21+G26*G24*G21</f>
        <v>1458.13036839536</v>
      </c>
      <c r="H27" s="67" t="n">
        <f aca="false">H12*0.5*H23*H21+H26*H24*H21</f>
        <v>2222.87642292557</v>
      </c>
      <c r="I27" s="67" t="n">
        <f aca="false">I12*0.5*I23*I21+I26*I24*I21</f>
        <v>2137.47336981944</v>
      </c>
      <c r="J27" s="67" t="n">
        <f aca="false">J12*0.5*J23*J21+J26*J24*J21</f>
        <v>2061.71937355795</v>
      </c>
      <c r="K27" s="67" t="n">
        <f aca="false">K12*0.5*K23*K21+K26*K24*K21</f>
        <v>2034.93986599337</v>
      </c>
      <c r="L27" s="67" t="n">
        <f aca="false">L12*0.5*L23*L21+L26*L24*L21</f>
        <v>2003.65443670136</v>
      </c>
      <c r="M27" s="67" t="n">
        <f aca="false">M12*0.5*M23*M21+M26*M24*M21</f>
        <v>1992.11716262276</v>
      </c>
    </row>
    <row r="28" customFormat="false" ht="15" hidden="false" customHeight="false" outlineLevel="0" collapsed="false">
      <c r="A28" s="16" t="s">
        <v>404</v>
      </c>
      <c r="B28" s="16"/>
      <c r="C28" s="16"/>
      <c r="D28" s="16"/>
      <c r="E28" s="16"/>
      <c r="F28" s="16"/>
      <c r="G28" s="16"/>
      <c r="H28" s="16"/>
      <c r="I28" s="16"/>
      <c r="J28" s="16"/>
      <c r="K28" s="16"/>
      <c r="L28" s="16"/>
      <c r="M28" s="16"/>
    </row>
    <row r="30" customFormat="false" ht="15.75" hidden="false" customHeight="true" outlineLevel="0" collapsed="false">
      <c r="A30" s="5" t="s">
        <v>405</v>
      </c>
      <c r="B30" s="5"/>
      <c r="C30" s="5"/>
      <c r="D30" s="5"/>
      <c r="E30" s="5"/>
      <c r="F30" s="5"/>
      <c r="G30" s="5"/>
      <c r="H30" s="5"/>
      <c r="I30" s="5"/>
      <c r="J30" s="5"/>
      <c r="K30" s="5"/>
      <c r="L30" s="5"/>
      <c r="M30" s="5"/>
    </row>
    <row r="31" customFormat="false" ht="15" hidden="false" customHeight="false" outlineLevel="0" collapsed="false">
      <c r="A31" s="38" t="s">
        <v>406</v>
      </c>
      <c r="G31" s="12" t="n">
        <v>0.035</v>
      </c>
      <c r="H31" s="12" t="n">
        <v>0.03</v>
      </c>
      <c r="I31" s="12" t="n">
        <v>0.026</v>
      </c>
      <c r="J31" s="12" t="n">
        <v>0.022</v>
      </c>
      <c r="K31" s="12" t="n">
        <v>0.02</v>
      </c>
      <c r="L31" s="12" t="n">
        <v>0.018</v>
      </c>
      <c r="M31" s="12" t="n">
        <v>0.018</v>
      </c>
    </row>
    <row r="32" customFormat="false" ht="15" hidden="false" customHeight="false" outlineLevel="0" collapsed="false">
      <c r="A32" s="38" t="s">
        <v>407</v>
      </c>
      <c r="G32" s="12" t="n">
        <v>0.025</v>
      </c>
      <c r="H32" s="12" t="n">
        <v>0.018</v>
      </c>
      <c r="I32" s="12" t="n">
        <v>0.016</v>
      </c>
      <c r="J32" s="12" t="n">
        <v>0.014</v>
      </c>
      <c r="K32" s="12" t="n">
        <v>0.013</v>
      </c>
      <c r="L32" s="12" t="n">
        <v>0.012</v>
      </c>
      <c r="M32" s="12" t="n">
        <v>0.012</v>
      </c>
    </row>
    <row r="33" customFormat="false" ht="15" hidden="false" customHeight="false" outlineLevel="0" collapsed="false">
      <c r="A33" s="38" t="s">
        <v>408</v>
      </c>
      <c r="G33" s="12" t="n">
        <v>0.017</v>
      </c>
      <c r="H33" s="12" t="n">
        <v>0.013</v>
      </c>
      <c r="I33" s="12" t="n">
        <v>0.012</v>
      </c>
      <c r="J33" s="12" t="n">
        <v>0.012</v>
      </c>
      <c r="K33" s="12" t="n">
        <v>0.012</v>
      </c>
      <c r="L33" s="12" t="n">
        <v>0.012</v>
      </c>
      <c r="M33" s="12" t="n">
        <v>0.012</v>
      </c>
    </row>
    <row r="34" customFormat="false" ht="15" hidden="false" customHeight="false" outlineLevel="0" collapsed="false">
      <c r="A34" s="6" t="s">
        <v>409</v>
      </c>
      <c r="B34" s="12" t="n">
        <v>0.123</v>
      </c>
      <c r="C34" s="12" t="n">
        <v>0.021</v>
      </c>
      <c r="D34" s="12" t="n">
        <v>-0.024</v>
      </c>
      <c r="E34" s="12" t="n">
        <v>0.014</v>
      </c>
      <c r="F34" s="12" t="n">
        <v>-0.022</v>
      </c>
      <c r="G34" s="25" t="n">
        <f aca="false">CHOOSE(Assumptions!B5,G31,G32,G33)</f>
        <v>0.025</v>
      </c>
      <c r="H34" s="25" t="n">
        <f aca="false">CHOOSE(Assumptions!B5,H31,H32,H33)</f>
        <v>0.018</v>
      </c>
      <c r="I34" s="25" t="n">
        <f aca="false">CHOOSE(Assumptions!B5,I31,I32,I33)</f>
        <v>0.016</v>
      </c>
      <c r="J34" s="25" t="n">
        <f aca="false">CHOOSE(Assumptions!B5,J31,J32,J33)</f>
        <v>0.014</v>
      </c>
      <c r="K34" s="25" t="n">
        <f aca="false">CHOOSE(Assumptions!B5,K31,K32,K33)</f>
        <v>0.013</v>
      </c>
      <c r="L34" s="25" t="n">
        <f aca="false">CHOOSE(Assumptions!B5,L31,L32,L33)</f>
        <v>0.012</v>
      </c>
      <c r="M34" s="25" t="n">
        <f aca="false">CHOOSE(Assumptions!B5,M31,M32,M33)</f>
        <v>0.012</v>
      </c>
    </row>
    <row r="35" customFormat="false" ht="15" hidden="false" customHeight="false" outlineLevel="0" collapsed="false">
      <c r="A35" s="16" t="s">
        <v>410</v>
      </c>
      <c r="B35" s="16"/>
      <c r="C35" s="16"/>
      <c r="D35" s="16"/>
      <c r="E35" s="16"/>
      <c r="F35" s="16"/>
      <c r="G35" s="16"/>
      <c r="H35" s="16"/>
      <c r="I35" s="16"/>
      <c r="J35" s="16"/>
      <c r="K35" s="16"/>
      <c r="L35" s="16"/>
      <c r="M35" s="16"/>
    </row>
    <row r="36" customFormat="false" ht="15" hidden="false" customHeight="false" outlineLevel="0" collapsed="false">
      <c r="A36" s="38" t="s">
        <v>411</v>
      </c>
      <c r="G36" s="59" t="n">
        <v>150</v>
      </c>
      <c r="H36" s="59" t="n">
        <v>150</v>
      </c>
      <c r="I36" s="59" t="n">
        <v>140</v>
      </c>
      <c r="J36" s="59" t="n">
        <v>120</v>
      </c>
      <c r="K36" s="59" t="n">
        <v>110</v>
      </c>
      <c r="L36" s="59" t="n">
        <v>100</v>
      </c>
      <c r="M36" s="59" t="n">
        <v>100</v>
      </c>
    </row>
    <row r="37" customFormat="false" ht="15" hidden="false" customHeight="false" outlineLevel="0" collapsed="false">
      <c r="A37" s="38" t="s">
        <v>412</v>
      </c>
      <c r="G37" s="59" t="n">
        <v>130</v>
      </c>
      <c r="H37" s="59" t="n">
        <v>130</v>
      </c>
      <c r="I37" s="59" t="n">
        <v>130</v>
      </c>
      <c r="J37" s="59" t="n">
        <v>100</v>
      </c>
      <c r="K37" s="59" t="n">
        <v>100</v>
      </c>
      <c r="L37" s="59" t="n">
        <v>100</v>
      </c>
      <c r="M37" s="59" t="n">
        <v>100</v>
      </c>
    </row>
    <row r="38" customFormat="false" ht="15" hidden="false" customHeight="false" outlineLevel="0" collapsed="false">
      <c r="A38" s="38" t="s">
        <v>413</v>
      </c>
      <c r="G38" s="59" t="n">
        <v>100</v>
      </c>
      <c r="H38" s="59" t="n">
        <v>90</v>
      </c>
      <c r="I38" s="59" t="n">
        <v>90</v>
      </c>
      <c r="J38" s="59" t="n">
        <v>80</v>
      </c>
      <c r="K38" s="59" t="n">
        <v>80</v>
      </c>
      <c r="L38" s="59" t="n">
        <v>80</v>
      </c>
      <c r="M38" s="59" t="n">
        <v>80</v>
      </c>
    </row>
    <row r="39" customFormat="false" ht="15" hidden="false" customHeight="false" outlineLevel="0" collapsed="false">
      <c r="A39" s="37" t="s">
        <v>414</v>
      </c>
      <c r="G39" s="62" t="n">
        <f aca="false">CHOOSE(Assumptions!B5,G36,G37,G38)</f>
        <v>130</v>
      </c>
      <c r="H39" s="62" t="n">
        <f aca="false">CHOOSE(Assumptions!B5,H36,H37,H38)</f>
        <v>130</v>
      </c>
      <c r="I39" s="62" t="n">
        <f aca="false">CHOOSE(Assumptions!B5,I36,I37,I38)</f>
        <v>130</v>
      </c>
      <c r="J39" s="62" t="n">
        <f aca="false">CHOOSE(Assumptions!B5,J36,J37,J38)</f>
        <v>100</v>
      </c>
      <c r="K39" s="62" t="n">
        <f aca="false">CHOOSE(Assumptions!B5,K36,K37,K38)</f>
        <v>100</v>
      </c>
      <c r="L39" s="62" t="n">
        <f aca="false">CHOOSE(Assumptions!B5,L36,L37,L38)</f>
        <v>100</v>
      </c>
      <c r="M39" s="62" t="n">
        <f aca="false">CHOOSE(Assumptions!B5,M36,M37,M38)</f>
        <v>100</v>
      </c>
    </row>
    <row r="40" customFormat="false" ht="15" hidden="false" customHeight="false" outlineLevel="0" collapsed="false">
      <c r="A40" s="16" t="s">
        <v>415</v>
      </c>
      <c r="B40" s="16"/>
      <c r="C40" s="16"/>
      <c r="D40" s="16"/>
      <c r="E40" s="16"/>
      <c r="F40" s="16"/>
      <c r="G40" s="16"/>
      <c r="H40" s="16"/>
      <c r="I40" s="16"/>
      <c r="J40" s="16"/>
      <c r="K40" s="16"/>
      <c r="L40" s="16"/>
      <c r="M40" s="16"/>
    </row>
    <row r="41" customFormat="false" ht="15" hidden="false" customHeight="false" outlineLevel="0" collapsed="false">
      <c r="A41" s="6" t="s">
        <v>416</v>
      </c>
      <c r="G41" s="51" t="n">
        <v>0.03</v>
      </c>
      <c r="H41" s="51" t="n">
        <v>0.03</v>
      </c>
      <c r="I41" s="51" t="n">
        <v>0.03</v>
      </c>
      <c r="J41" s="51" t="n">
        <v>0.03</v>
      </c>
      <c r="K41" s="51" t="n">
        <v>0.03</v>
      </c>
      <c r="L41" s="51" t="n">
        <v>0.03</v>
      </c>
      <c r="M41" s="51" t="n">
        <v>0.03</v>
      </c>
    </row>
    <row r="42" customFormat="false" ht="15" hidden="false" customHeight="false" outlineLevel="0" collapsed="false">
      <c r="A42" s="6" t="s">
        <v>417</v>
      </c>
      <c r="G42" s="51" t="n">
        <v>0.03</v>
      </c>
      <c r="H42" s="51" t="n">
        <v>0.03</v>
      </c>
      <c r="I42" s="51" t="n">
        <v>0.03</v>
      </c>
      <c r="J42" s="51" t="n">
        <v>0.03</v>
      </c>
      <c r="K42" s="51" t="n">
        <v>0.03</v>
      </c>
      <c r="L42" s="51" t="n">
        <v>0.03</v>
      </c>
      <c r="M42" s="51" t="n">
        <v>0.03</v>
      </c>
    </row>
    <row r="43" customFormat="false" ht="15" hidden="false" customHeight="false" outlineLevel="0" collapsed="false">
      <c r="A43" s="16" t="s">
        <v>418</v>
      </c>
      <c r="B43" s="16"/>
      <c r="C43" s="16"/>
      <c r="D43" s="16"/>
      <c r="E43" s="16"/>
      <c r="F43" s="16"/>
      <c r="G43" s="16"/>
      <c r="H43" s="16"/>
      <c r="I43" s="16"/>
      <c r="J43" s="16"/>
      <c r="K43" s="16"/>
      <c r="L43" s="16"/>
      <c r="M43" s="16"/>
    </row>
    <row r="44" customFormat="false" ht="15" hidden="false" customHeight="false" outlineLevel="0" collapsed="false">
      <c r="A44" s="37" t="s">
        <v>419</v>
      </c>
      <c r="G44" s="68" t="n">
        <f aca="false">(G39/G17)*G41</f>
        <v>0.00193933366484336</v>
      </c>
      <c r="H44" s="68" t="n">
        <f aca="false">(H39/H17)*H41+(G39/H17)*H42</f>
        <v>0.00381978452497551</v>
      </c>
      <c r="I44" s="68" t="n">
        <f aca="false">(I39/I17)*I41+(H39/I17)*I42</f>
        <v>0.00376629647513279</v>
      </c>
      <c r="J44" s="68" t="n">
        <f aca="false">(J39/J17)*J41+(I39/J17)*J42</f>
        <v>0.00328806290207291</v>
      </c>
      <c r="K44" s="68" t="n">
        <f aca="false">(K39/K17)*K41+(J39/K17)*K42</f>
        <v>0.00282352941176471</v>
      </c>
      <c r="L44" s="68" t="n">
        <f aca="false">(L39/L17)*L41+(K39/L17)*L42</f>
        <v>0.00279004882585445</v>
      </c>
      <c r="M44" s="68" t="n">
        <f aca="false">(M39/M17)*M41+(L39/M17)*M42</f>
        <v>0.0027579866697311</v>
      </c>
    </row>
    <row r="45" customFormat="false" ht="15" hidden="false" customHeight="false" outlineLevel="0" collapsed="false">
      <c r="A45" s="37" t="s">
        <v>420</v>
      </c>
      <c r="B45" s="69" t="n">
        <v>0.123</v>
      </c>
      <c r="C45" s="69" t="n">
        <v>0.021</v>
      </c>
      <c r="D45" s="69" t="n">
        <v>-0.024</v>
      </c>
      <c r="E45" s="69" t="n">
        <v>0.014</v>
      </c>
      <c r="F45" s="69" t="n">
        <v>-0.022</v>
      </c>
      <c r="G45" s="69" t="n">
        <f aca="false">G34+G44</f>
        <v>0.0269393336648434</v>
      </c>
      <c r="H45" s="69" t="n">
        <f aca="false">H34+H44</f>
        <v>0.0218197845249755</v>
      </c>
      <c r="I45" s="69" t="n">
        <f aca="false">I34+I44</f>
        <v>0.0197662964751328</v>
      </c>
      <c r="J45" s="69" t="n">
        <f aca="false">J34+J44</f>
        <v>0.0172880629020729</v>
      </c>
      <c r="K45" s="69" t="n">
        <f aca="false">K34+K44</f>
        <v>0.0158235294117647</v>
      </c>
      <c r="L45" s="69" t="n">
        <f aca="false">L34+L44</f>
        <v>0.0147900488258545</v>
      </c>
      <c r="M45" s="69" t="n">
        <f aca="false">M34+M44</f>
        <v>0.0147579866697311</v>
      </c>
    </row>
    <row r="46" customFormat="false" ht="15" hidden="false" customHeight="false" outlineLevel="0" collapsed="false">
      <c r="A46" s="38" t="s">
        <v>421</v>
      </c>
      <c r="G46" s="12" t="n">
        <v>0.012</v>
      </c>
      <c r="H46" s="12" t="n">
        <v>0.012</v>
      </c>
      <c r="I46" s="12" t="n">
        <v>0.011</v>
      </c>
      <c r="J46" s="12" t="n">
        <v>0.01</v>
      </c>
      <c r="K46" s="12" t="n">
        <v>0.01</v>
      </c>
      <c r="L46" s="12" t="n">
        <v>0.01</v>
      </c>
      <c r="M46" s="12" t="n">
        <v>0.01</v>
      </c>
    </row>
    <row r="47" customFormat="false" ht="15" hidden="false" customHeight="false" outlineLevel="0" collapsed="false">
      <c r="A47" s="38" t="s">
        <v>422</v>
      </c>
      <c r="G47" s="12" t="n">
        <v>0.006</v>
      </c>
      <c r="H47" s="12" t="n">
        <v>0.006</v>
      </c>
      <c r="I47" s="12" t="n">
        <v>0.007</v>
      </c>
      <c r="J47" s="12" t="n">
        <v>0.007</v>
      </c>
      <c r="K47" s="12" t="n">
        <v>0.008</v>
      </c>
      <c r="L47" s="12" t="n">
        <v>0.008</v>
      </c>
      <c r="M47" s="12" t="n">
        <v>0.008</v>
      </c>
    </row>
    <row r="48" customFormat="false" ht="15" hidden="false" customHeight="false" outlineLevel="0" collapsed="false">
      <c r="A48" s="38" t="s">
        <v>423</v>
      </c>
      <c r="G48" s="12" t="n">
        <v>0.002</v>
      </c>
      <c r="H48" s="12" t="n">
        <v>0.003</v>
      </c>
      <c r="I48" s="12" t="n">
        <v>0.004</v>
      </c>
      <c r="J48" s="12" t="n">
        <v>0.005</v>
      </c>
      <c r="K48" s="12" t="n">
        <v>0.006</v>
      </c>
      <c r="L48" s="12" t="n">
        <v>0.007</v>
      </c>
      <c r="M48" s="12" t="n">
        <v>0.008</v>
      </c>
    </row>
    <row r="49" customFormat="false" ht="15" hidden="false" customHeight="false" outlineLevel="0" collapsed="false">
      <c r="A49" s="37" t="s">
        <v>424</v>
      </c>
      <c r="B49" s="69" t="n">
        <v>0.004</v>
      </c>
      <c r="C49" s="69" t="n">
        <v>0.001</v>
      </c>
      <c r="D49" s="69" t="n">
        <v>-0.014</v>
      </c>
      <c r="E49" s="69" t="n">
        <v>-0.013</v>
      </c>
      <c r="F49" s="69" t="n">
        <v>-0.004</v>
      </c>
      <c r="G49" s="43" t="n">
        <f aca="false">CHOOSE(Assumptions!B5,G46,G47,G48)</f>
        <v>0.006</v>
      </c>
      <c r="H49" s="43" t="n">
        <f aca="false">CHOOSE(Assumptions!B5,H46,H47,H48)</f>
        <v>0.006</v>
      </c>
      <c r="I49" s="43" t="n">
        <f aca="false">CHOOSE(Assumptions!B5,I46,I47,I48)</f>
        <v>0.007</v>
      </c>
      <c r="J49" s="43" t="n">
        <f aca="false">CHOOSE(Assumptions!B5,J46,J47,J48)</f>
        <v>0.007</v>
      </c>
      <c r="K49" s="43" t="n">
        <f aca="false">CHOOSE(Assumptions!B5,K46,K47,K48)</f>
        <v>0.008</v>
      </c>
      <c r="L49" s="43" t="n">
        <f aca="false">CHOOSE(Assumptions!B5,L46,L47,L48)</f>
        <v>0.008</v>
      </c>
      <c r="M49" s="43" t="n">
        <f aca="false">CHOOSE(Assumptions!B5,M46,M47,M48)</f>
        <v>0.008</v>
      </c>
    </row>
    <row r="50" customFormat="false" ht="15" hidden="false" customHeight="false" outlineLevel="0" collapsed="false">
      <c r="A50" s="16" t="s">
        <v>425</v>
      </c>
      <c r="B50" s="16"/>
      <c r="C50" s="16"/>
      <c r="D50" s="16"/>
      <c r="E50" s="16"/>
      <c r="F50" s="16"/>
      <c r="G50" s="16"/>
      <c r="H50" s="16"/>
      <c r="I50" s="16"/>
      <c r="J50" s="16"/>
      <c r="K50" s="16"/>
      <c r="L50" s="16"/>
      <c r="M50" s="16"/>
    </row>
    <row r="51" customFormat="false" ht="15" hidden="false" customHeight="false" outlineLevel="0" collapsed="false">
      <c r="A51" s="37" t="s">
        <v>426</v>
      </c>
      <c r="B51" s="69" t="n">
        <v>0.127</v>
      </c>
      <c r="C51" s="69" t="n">
        <v>0.022</v>
      </c>
      <c r="D51" s="69" t="n">
        <v>-0.037</v>
      </c>
      <c r="E51" s="69" t="n">
        <v>0.001</v>
      </c>
      <c r="F51" s="69" t="n">
        <v>-0.026</v>
      </c>
      <c r="G51" s="70" t="n">
        <f aca="false">(1+G45)*(1+G49)-1</f>
        <v>0.0331009696668325</v>
      </c>
      <c r="H51" s="70" t="n">
        <f aca="false">(1+H45)*(1+H49)-1</f>
        <v>0.0279507032321253</v>
      </c>
      <c r="I51" s="70" t="n">
        <f aca="false">(1+I45)*(1+I49)-1</f>
        <v>0.0269046605504586</v>
      </c>
      <c r="J51" s="70" t="n">
        <f aca="false">(1+J45)*(1+J49)-1</f>
        <v>0.0244090793423872</v>
      </c>
      <c r="K51" s="70" t="n">
        <f aca="false">(1+K45)*(1+K49)-1</f>
        <v>0.0239501176470589</v>
      </c>
      <c r="L51" s="70" t="n">
        <f aca="false">(1+L45)*(1+L49)-1</f>
        <v>0.0229083692164613</v>
      </c>
      <c r="M51" s="70" t="n">
        <f aca="false">(1+M45)*(1+M49)-1</f>
        <v>0.0228760505630889</v>
      </c>
    </row>
    <row r="53" customFormat="false" ht="15.75" hidden="false" customHeight="true" outlineLevel="0" collapsed="false">
      <c r="A53" s="5" t="s">
        <v>427</v>
      </c>
      <c r="B53" s="5"/>
      <c r="C53" s="5"/>
      <c r="D53" s="5"/>
      <c r="E53" s="5"/>
      <c r="F53" s="5"/>
      <c r="G53" s="5"/>
      <c r="H53" s="5"/>
      <c r="I53" s="5"/>
      <c r="J53" s="5"/>
      <c r="K53" s="5"/>
      <c r="L53" s="5"/>
      <c r="M53" s="5"/>
    </row>
    <row r="54" customFormat="false" ht="15" hidden="false" customHeight="false" outlineLevel="0" collapsed="false">
      <c r="A54" s="38" t="s">
        <v>428</v>
      </c>
      <c r="G54" s="12" t="n">
        <v>0.25</v>
      </c>
      <c r="H54" s="12" t="n">
        <v>0.22</v>
      </c>
      <c r="I54" s="12" t="n">
        <v>0.19</v>
      </c>
      <c r="J54" s="12" t="n">
        <v>0.16</v>
      </c>
      <c r="K54" s="12" t="n">
        <v>0.14</v>
      </c>
      <c r="L54" s="12" t="n">
        <v>0.12</v>
      </c>
      <c r="M54" s="12" t="n">
        <v>0.12</v>
      </c>
    </row>
    <row r="55" customFormat="false" ht="15" hidden="false" customHeight="false" outlineLevel="0" collapsed="false">
      <c r="A55" s="38" t="s">
        <v>429</v>
      </c>
      <c r="G55" s="12" t="n">
        <v>0.18</v>
      </c>
      <c r="H55" s="12" t="n">
        <v>0.16</v>
      </c>
      <c r="I55" s="12" t="n">
        <v>0.14</v>
      </c>
      <c r="J55" s="12" t="n">
        <v>0.12</v>
      </c>
      <c r="K55" s="12" t="n">
        <v>0.11</v>
      </c>
      <c r="L55" s="12" t="n">
        <v>0.1</v>
      </c>
      <c r="M55" s="12" t="n">
        <v>0.1</v>
      </c>
    </row>
    <row r="56" customFormat="false" ht="15" hidden="false" customHeight="false" outlineLevel="0" collapsed="false">
      <c r="A56" s="38" t="s">
        <v>430</v>
      </c>
      <c r="G56" s="12" t="n">
        <v>0.1</v>
      </c>
      <c r="H56" s="12" t="n">
        <v>0.09</v>
      </c>
      <c r="I56" s="12" t="n">
        <v>0.09</v>
      </c>
      <c r="J56" s="12" t="n">
        <v>0.095</v>
      </c>
      <c r="K56" s="12" t="n">
        <v>0.1</v>
      </c>
      <c r="L56" s="12" t="n">
        <v>0.1</v>
      </c>
      <c r="M56" s="12" t="n">
        <v>0.1</v>
      </c>
    </row>
    <row r="57" customFormat="false" ht="15" hidden="false" customHeight="false" outlineLevel="0" collapsed="false">
      <c r="A57" s="37" t="s">
        <v>431</v>
      </c>
      <c r="G57" s="43" t="n">
        <f aca="false">CHOOSE(Assumptions!B5,G54,G55,G56)</f>
        <v>0.18</v>
      </c>
      <c r="H57" s="43" t="n">
        <f aca="false">CHOOSE(Assumptions!B5,H54,H55,H56)</f>
        <v>0.16</v>
      </c>
      <c r="I57" s="43" t="n">
        <f aca="false">CHOOSE(Assumptions!B5,I54,I55,I56)</f>
        <v>0.14</v>
      </c>
      <c r="J57" s="43" t="n">
        <f aca="false">CHOOSE(Assumptions!B5,J54,J55,J56)</f>
        <v>0.12</v>
      </c>
      <c r="K57" s="43" t="n">
        <f aca="false">CHOOSE(Assumptions!B5,K54,K55,K56)</f>
        <v>0.11</v>
      </c>
      <c r="L57" s="43" t="n">
        <f aca="false">CHOOSE(Assumptions!B5,L54,L55,L56)</f>
        <v>0.1</v>
      </c>
      <c r="M57" s="43" t="n">
        <f aca="false">CHOOSE(Assumptions!B5,M54,M55,M56)</f>
        <v>0.1</v>
      </c>
    </row>
    <row r="58" customFormat="false" ht="15" hidden="false" customHeight="false" outlineLevel="0" collapsed="false">
      <c r="A58" s="16" t="s">
        <v>432</v>
      </c>
      <c r="B58" s="16"/>
      <c r="C58" s="16"/>
      <c r="D58" s="16"/>
      <c r="E58" s="16"/>
      <c r="F58" s="16"/>
      <c r="G58" s="16"/>
      <c r="H58" s="16"/>
      <c r="I58" s="16"/>
      <c r="J58" s="16"/>
      <c r="K58" s="16"/>
      <c r="L58" s="16"/>
      <c r="M58" s="16"/>
    </row>
    <row r="59" customFormat="false" ht="15" hidden="false" customHeight="false" outlineLevel="0" collapsed="false">
      <c r="A59" s="6" t="s">
        <v>433</v>
      </c>
      <c r="B59" s="46" t="n">
        <v>1394</v>
      </c>
      <c r="C59" s="46" t="n">
        <v>1532</v>
      </c>
      <c r="D59" s="46" t="n">
        <v>1609</v>
      </c>
      <c r="E59" s="46" t="n">
        <v>1802</v>
      </c>
      <c r="F59" s="46" t="n">
        <v>2073</v>
      </c>
      <c r="G59" s="71" t="n">
        <f aca="false">F59*(1+G57)</f>
        <v>2446.14</v>
      </c>
      <c r="H59" s="71" t="n">
        <f aca="false">G59*(1+H57)</f>
        <v>2837.5224</v>
      </c>
      <c r="I59" s="71" t="n">
        <f aca="false">H59*(1+I57)</f>
        <v>3234.775536</v>
      </c>
      <c r="J59" s="71" t="n">
        <f aca="false">I59*(1+J57)</f>
        <v>3622.94860032</v>
      </c>
      <c r="K59" s="71" t="n">
        <f aca="false">J59*(1+K57)</f>
        <v>4021.4729463552</v>
      </c>
      <c r="L59" s="71" t="n">
        <f aca="false">K59*(1+L57)</f>
        <v>4423.62024099072</v>
      </c>
      <c r="M59" s="71" t="n">
        <f aca="false">L59*(1+M57)</f>
        <v>4865.98226508979</v>
      </c>
    </row>
    <row r="60" customFormat="false" ht="15" hidden="false" customHeight="false" outlineLevel="0" collapsed="false">
      <c r="A60" s="45" t="s">
        <v>434</v>
      </c>
      <c r="B60" s="45"/>
      <c r="C60" s="45"/>
      <c r="D60" s="45"/>
      <c r="E60" s="45"/>
      <c r="F60" s="45"/>
      <c r="G60" s="45"/>
      <c r="H60" s="45"/>
      <c r="I60" s="45"/>
      <c r="J60" s="45"/>
      <c r="K60" s="45"/>
      <c r="L60" s="45"/>
      <c r="M60" s="45"/>
    </row>
    <row r="62" customFormat="false" ht="15.75" hidden="false" customHeight="true" outlineLevel="0" collapsed="false">
      <c r="A62" s="5" t="s">
        <v>435</v>
      </c>
      <c r="B62" s="5"/>
      <c r="C62" s="5"/>
      <c r="D62" s="5"/>
      <c r="E62" s="5"/>
      <c r="F62" s="5"/>
      <c r="G62" s="5"/>
      <c r="H62" s="5"/>
      <c r="I62" s="5"/>
      <c r="J62" s="5"/>
      <c r="K62" s="5"/>
      <c r="L62" s="5"/>
      <c r="M62" s="5"/>
    </row>
    <row r="63" customFormat="false" ht="15" hidden="false" customHeight="false" outlineLevel="0" collapsed="false">
      <c r="A63" s="6" t="s">
        <v>436</v>
      </c>
      <c r="B63" s="72"/>
      <c r="C63" s="71" t="n">
        <f aca="false">B70</f>
        <v>104611</v>
      </c>
      <c r="D63" s="71" t="n">
        <f aca="false">C70</f>
        <v>107588</v>
      </c>
      <c r="E63" s="71" t="n">
        <f aca="false">D70</f>
        <v>105803</v>
      </c>
      <c r="F63" s="71" t="n">
        <f aca="false">E70</f>
        <v>104764</v>
      </c>
      <c r="G63" s="71" t="n">
        <f aca="false">F70</f>
        <v>102707</v>
      </c>
      <c r="H63" s="71" t="n">
        <f aca="false">G70</f>
        <v>107564.831659967</v>
      </c>
      <c r="I63" s="71" t="n">
        <f aca="false">H70</f>
        <v>111295.334633237</v>
      </c>
      <c r="J63" s="71" t="n">
        <f aca="false">I70</f>
        <v>114144.489043684</v>
      </c>
      <c r="K63" s="71" t="n">
        <f aca="false">J70</f>
        <v>116802.72317991</v>
      </c>
      <c r="L63" s="71" t="n">
        <f aca="false">K70</f>
        <v>119524.004212449</v>
      </c>
      <c r="M63" s="71" t="n">
        <f aca="false">L70</f>
        <v>122184.201648102</v>
      </c>
    </row>
    <row r="64" customFormat="false" ht="15" hidden="false" customHeight="false" outlineLevel="0" collapsed="false">
      <c r="A64" s="38" t="s">
        <v>437</v>
      </c>
      <c r="B64" s="73" t="n">
        <v>0</v>
      </c>
      <c r="C64" s="73" t="n">
        <v>0</v>
      </c>
      <c r="D64" s="73" t="n">
        <v>0</v>
      </c>
      <c r="E64" s="73" t="n">
        <v>0</v>
      </c>
      <c r="F64" s="73" t="n">
        <v>0</v>
      </c>
      <c r="G64" s="73" t="n">
        <v>0</v>
      </c>
      <c r="H64" s="73" t="n">
        <f aca="false">G27</f>
        <v>1458.13036839536</v>
      </c>
      <c r="I64" s="73" t="n">
        <f aca="false">H27</f>
        <v>2222.87642292557</v>
      </c>
      <c r="J64" s="73" t="n">
        <f aca="false">I27</f>
        <v>2137.47336981944</v>
      </c>
      <c r="K64" s="73" t="n">
        <f aca="false">J27</f>
        <v>2061.71937355795</v>
      </c>
      <c r="L64" s="73" t="n">
        <f aca="false">K27</f>
        <v>2034.93986599337</v>
      </c>
      <c r="M64" s="73" t="n">
        <f aca="false">L27</f>
        <v>2003.65443670136</v>
      </c>
    </row>
    <row r="65" customFormat="false" ht="15" hidden="false" customHeight="false" outlineLevel="0" collapsed="false">
      <c r="A65" s="38" t="s">
        <v>438</v>
      </c>
      <c r="B65" s="73"/>
      <c r="C65" s="73" t="n">
        <f aca="false">C63-C64</f>
        <v>104611</v>
      </c>
      <c r="D65" s="73" t="n">
        <f aca="false">D63-D64</f>
        <v>107588</v>
      </c>
      <c r="E65" s="73" t="n">
        <f aca="false">E63-E64</f>
        <v>105803</v>
      </c>
      <c r="F65" s="73" t="n">
        <f aca="false">F63-F64</f>
        <v>104764</v>
      </c>
      <c r="G65" s="73" t="n">
        <f aca="false">G63-G64</f>
        <v>102707</v>
      </c>
      <c r="H65" s="73" t="n">
        <f aca="false">H63-H64</f>
        <v>106106.701291571</v>
      </c>
      <c r="I65" s="73" t="n">
        <f aca="false">I63-I64</f>
        <v>109072.458210312</v>
      </c>
      <c r="J65" s="73" t="n">
        <f aca="false">J63-J64</f>
        <v>112007.015673864</v>
      </c>
      <c r="K65" s="73" t="n">
        <f aca="false">K63-K64</f>
        <v>114741.003806352</v>
      </c>
      <c r="L65" s="73" t="n">
        <f aca="false">L63-L64</f>
        <v>117489.064346456</v>
      </c>
      <c r="M65" s="73" t="n">
        <f aca="false">M63-M64</f>
        <v>120180.547211401</v>
      </c>
    </row>
    <row r="66" customFormat="false" ht="15" hidden="false" customHeight="false" outlineLevel="0" collapsed="false">
      <c r="A66" s="6" t="s">
        <v>439</v>
      </c>
      <c r="G66" s="71" t="n">
        <f aca="false">G65*G51</f>
        <v>3399.70129157137</v>
      </c>
      <c r="H66" s="71" t="n">
        <f aca="false">H65*H51</f>
        <v>2965.75691874048</v>
      </c>
      <c r="I66" s="71" t="n">
        <f aca="false">I65*I51</f>
        <v>2934.55746355252</v>
      </c>
      <c r="J66" s="71" t="n">
        <f aca="false">J65*J51</f>
        <v>2733.98813248737</v>
      </c>
      <c r="K66" s="71" t="n">
        <f aca="false">K65*K51</f>
        <v>2748.06054010376</v>
      </c>
      <c r="L66" s="71" t="n">
        <f aca="false">L65*L51</f>
        <v>2691.48286494519</v>
      </c>
      <c r="M66" s="71" t="n">
        <f aca="false">M65*M51</f>
        <v>2749.2562747077</v>
      </c>
    </row>
    <row r="67" customFormat="false" ht="15" hidden="false" customHeight="false" outlineLevel="0" collapsed="false">
      <c r="A67" s="6" t="s">
        <v>440</v>
      </c>
      <c r="G67" s="71" t="n">
        <f aca="false">G27-G64</f>
        <v>1458.13036839536</v>
      </c>
      <c r="H67" s="71" t="n">
        <f aca="false">H27-H64</f>
        <v>764.746054530217</v>
      </c>
      <c r="I67" s="71" t="n">
        <f aca="false">I27-I64</f>
        <v>-85.4030531061299</v>
      </c>
      <c r="J67" s="71" t="n">
        <f aca="false">J27-J64</f>
        <v>-75.7539962614883</v>
      </c>
      <c r="K67" s="71" t="n">
        <f aca="false">K27-K64</f>
        <v>-26.7795075645849</v>
      </c>
      <c r="L67" s="71" t="n">
        <f aca="false">L27-L64</f>
        <v>-31.2854292920081</v>
      </c>
      <c r="M67" s="71" t="n">
        <f aca="false">M27-M64</f>
        <v>-11.5372740785976</v>
      </c>
    </row>
    <row r="68" customFormat="false" ht="15" hidden="false" customHeight="false" outlineLevel="0" collapsed="false">
      <c r="A68" s="6" t="s">
        <v>441</v>
      </c>
      <c r="B68" s="71" t="n">
        <v>0</v>
      </c>
      <c r="C68" s="71" t="n">
        <v>0</v>
      </c>
      <c r="D68" s="71" t="n">
        <v>0</v>
      </c>
      <c r="E68" s="71" t="n">
        <v>0</v>
      </c>
      <c r="F68" s="71" t="n">
        <v>0</v>
      </c>
      <c r="G68" s="71" t="n">
        <v>0</v>
      </c>
      <c r="H68" s="71" t="n">
        <v>0</v>
      </c>
      <c r="I68" s="71" t="n">
        <v>0</v>
      </c>
      <c r="J68" s="71" t="n">
        <v>0</v>
      </c>
      <c r="K68" s="71" t="n">
        <v>0</v>
      </c>
      <c r="L68" s="71" t="n">
        <v>0</v>
      </c>
      <c r="M68" s="71" t="n">
        <v>0</v>
      </c>
    </row>
    <row r="69" customFormat="false" ht="15" hidden="false" customHeight="false" outlineLevel="0" collapsed="false">
      <c r="A69" s="6" t="s">
        <v>442</v>
      </c>
      <c r="B69" s="71" t="n">
        <v>0</v>
      </c>
      <c r="C69" s="71" t="n">
        <v>0</v>
      </c>
      <c r="D69" s="71" t="n">
        <v>0</v>
      </c>
      <c r="E69" s="71" t="n">
        <v>0</v>
      </c>
      <c r="F69" s="71" t="n">
        <v>0</v>
      </c>
      <c r="G69" s="71" t="n">
        <v>0</v>
      </c>
      <c r="H69" s="71" t="n">
        <v>0</v>
      </c>
      <c r="I69" s="71" t="n">
        <v>0</v>
      </c>
      <c r="J69" s="71" t="n">
        <v>0</v>
      </c>
      <c r="K69" s="71" t="n">
        <v>0</v>
      </c>
      <c r="L69" s="71" t="n">
        <v>0</v>
      </c>
      <c r="M69" s="71" t="n">
        <v>0</v>
      </c>
    </row>
    <row r="70" customFormat="false" ht="15" hidden="false" customHeight="false" outlineLevel="0" collapsed="false">
      <c r="A70" s="37" t="s">
        <v>443</v>
      </c>
      <c r="B70" s="67" t="n">
        <v>104611</v>
      </c>
      <c r="C70" s="67" t="n">
        <v>107588</v>
      </c>
      <c r="D70" s="67" t="n">
        <v>105803</v>
      </c>
      <c r="E70" s="67" t="n">
        <v>104764</v>
      </c>
      <c r="F70" s="67" t="n">
        <v>102707</v>
      </c>
      <c r="G70" s="47" t="n">
        <f aca="false">G63+G66+G67-G68+G69</f>
        <v>107564.831659967</v>
      </c>
      <c r="H70" s="47" t="n">
        <f aca="false">H63+H66+H67-H68+H69</f>
        <v>111295.334633237</v>
      </c>
      <c r="I70" s="47" t="n">
        <f aca="false">I63+I66+I67-I68+I69</f>
        <v>114144.489043684</v>
      </c>
      <c r="J70" s="47" t="n">
        <f aca="false">J63+J66+J67-J68+J69</f>
        <v>116802.72317991</v>
      </c>
      <c r="K70" s="47" t="n">
        <f aca="false">K63+K66+K67-K68+K69</f>
        <v>119524.004212449</v>
      </c>
      <c r="L70" s="47" t="n">
        <f aca="false">L63+L66+L67-L68+L69</f>
        <v>122184.201648102</v>
      </c>
      <c r="M70" s="47" t="n">
        <f aca="false">M63+M66+M67-M68+M69</f>
        <v>124921.920648731</v>
      </c>
    </row>
    <row r="71" customFormat="false" ht="15" hidden="false" customHeight="false" outlineLevel="0" collapsed="false">
      <c r="A71" s="45" t="s">
        <v>444</v>
      </c>
      <c r="B71" s="45"/>
      <c r="C71" s="45"/>
      <c r="D71" s="45"/>
      <c r="E71" s="45"/>
      <c r="F71" s="45"/>
      <c r="G71" s="45"/>
      <c r="H71" s="45"/>
      <c r="I71" s="45"/>
      <c r="J71" s="45"/>
      <c r="K71" s="45"/>
      <c r="L71" s="45"/>
      <c r="M71" s="45"/>
    </row>
    <row r="72" customFormat="false" ht="15" hidden="false" customHeight="false" outlineLevel="0" collapsed="false">
      <c r="A72" s="37" t="s">
        <v>445</v>
      </c>
      <c r="B72" s="67" t="n">
        <v>106005</v>
      </c>
      <c r="C72" s="67" t="n">
        <v>109120</v>
      </c>
      <c r="D72" s="67" t="n">
        <v>107412</v>
      </c>
      <c r="E72" s="67" t="n">
        <v>106566</v>
      </c>
      <c r="F72" s="67" t="n">
        <v>104780</v>
      </c>
      <c r="G72" s="47" t="n">
        <f aca="false">G70+G59</f>
        <v>110010.971659967</v>
      </c>
      <c r="H72" s="47" t="n">
        <f aca="false">H70+H59</f>
        <v>114132.857033237</v>
      </c>
      <c r="I72" s="47" t="n">
        <f aca="false">I70+I59</f>
        <v>117379.264579684</v>
      </c>
      <c r="J72" s="47" t="n">
        <f aca="false">J70+J59</f>
        <v>120425.67178023</v>
      </c>
      <c r="K72" s="47" t="n">
        <f aca="false">K70+K59</f>
        <v>123545.477158804</v>
      </c>
      <c r="L72" s="47" t="n">
        <f aca="false">L70+L59</f>
        <v>126607.821889093</v>
      </c>
      <c r="M72" s="47" t="n">
        <f aca="false">M70+M59</f>
        <v>129787.902913821</v>
      </c>
    </row>
    <row r="73" customFormat="false" ht="15" hidden="false" customHeight="false" outlineLevel="0" collapsed="false">
      <c r="A73" s="38" t="s">
        <v>446</v>
      </c>
      <c r="C73" s="39" t="n">
        <f aca="false">C72/B72-1</f>
        <v>0.0293854063487571</v>
      </c>
      <c r="D73" s="39" t="n">
        <f aca="false">D72/C72-1</f>
        <v>-0.0156524926686217</v>
      </c>
      <c r="E73" s="39" t="n">
        <f aca="false">E72/D72-1</f>
        <v>-0.00787621494805046</v>
      </c>
      <c r="F73" s="39" t="n">
        <f aca="false">F72/E72-1</f>
        <v>-0.0167595668412064</v>
      </c>
      <c r="G73" s="39" t="n">
        <f aca="false">G72/F72-1</f>
        <v>0.0499233790796596</v>
      </c>
      <c r="H73" s="39" t="n">
        <f aca="false">H72/G72-1</f>
        <v>0.0374679480698621</v>
      </c>
      <c r="I73" s="39" t="n">
        <f aca="false">I72/H72-1</f>
        <v>0.0284441100558885</v>
      </c>
      <c r="J73" s="39" t="n">
        <f aca="false">J72/I72-1</f>
        <v>0.0259535379732918</v>
      </c>
      <c r="K73" s="39" t="n">
        <f aca="false">K72/J72-1</f>
        <v>0.0259064810057099</v>
      </c>
      <c r="L73" s="39" t="n">
        <f aca="false">L72/K72-1</f>
        <v>0.0247871860687574</v>
      </c>
      <c r="M73" s="39" t="n">
        <f aca="false">M72/L72-1</f>
        <v>0.0251175715471506</v>
      </c>
    </row>
    <row r="75" customFormat="false" ht="15" hidden="false" customHeight="false" outlineLevel="0" collapsed="false">
      <c r="A75" s="38" t="s">
        <v>447</v>
      </c>
      <c r="B75" s="74" t="n">
        <v>0.189</v>
      </c>
      <c r="C75" s="74" t="n">
        <v>0.186</v>
      </c>
      <c r="D75" s="74" t="n">
        <v>0.183</v>
      </c>
      <c r="E75" s="74" t="n">
        <v>0.196</v>
      </c>
      <c r="F75" s="74" t="n">
        <v>0.206</v>
      </c>
      <c r="G75" s="39" t="n">
        <f aca="false">F75+0.006</f>
        <v>0.212</v>
      </c>
      <c r="H75" s="39" t="n">
        <f aca="false">G75+0.006</f>
        <v>0.218</v>
      </c>
      <c r="I75" s="39" t="n">
        <f aca="false">H75+0.006</f>
        <v>0.224</v>
      </c>
      <c r="J75" s="39" t="n">
        <f aca="false">I75+0.006</f>
        <v>0.23</v>
      </c>
      <c r="K75" s="39" t="n">
        <f aca="false">J75+0.006</f>
        <v>0.236</v>
      </c>
      <c r="L75" s="39" t="n">
        <f aca="false">K75+0.006</f>
        <v>0.242</v>
      </c>
      <c r="M75" s="39" t="n">
        <f aca="false">L75+0.006</f>
        <v>0.248</v>
      </c>
    </row>
    <row r="76" customFormat="false" ht="15" hidden="false" customHeight="false" outlineLevel="0" collapsed="false">
      <c r="A76" s="16" t="s">
        <v>448</v>
      </c>
      <c r="B76" s="16"/>
      <c r="C76" s="16"/>
      <c r="D76" s="16"/>
      <c r="E76" s="16"/>
      <c r="F76" s="16"/>
      <c r="G76" s="16"/>
      <c r="H76" s="16"/>
      <c r="I76" s="16"/>
      <c r="J76" s="16"/>
      <c r="K76" s="16"/>
      <c r="L76" s="16"/>
      <c r="M76" s="16"/>
    </row>
    <row r="77" customFormat="false" ht="15" hidden="false" customHeight="false" outlineLevel="0" collapsed="false">
      <c r="A77" s="38" t="s">
        <v>449</v>
      </c>
      <c r="B77" s="75" t="n">
        <v>437</v>
      </c>
      <c r="C77" s="75" t="n">
        <v>447</v>
      </c>
      <c r="D77" s="75" t="n">
        <v>438</v>
      </c>
      <c r="E77" s="75" t="n">
        <v>431</v>
      </c>
      <c r="F77" s="75" t="n">
        <v>420</v>
      </c>
      <c r="G77" s="76" t="n">
        <f aca="false">G72*1000000/(G18*1000)</f>
        <v>432.255739593989</v>
      </c>
      <c r="H77" s="76" t="n">
        <f aca="false">H72*1000000/(H18*1000)</f>
        <v>441.95845190845</v>
      </c>
      <c r="I77" s="76" t="n">
        <f aca="false">I72*1000000/(I18*1000)</f>
        <v>448.466285254364</v>
      </c>
      <c r="J77" s="76" t="n">
        <f aca="false">J72*1000000/(J18*1000)</f>
        <v>454.260899967408</v>
      </c>
      <c r="K77" s="76" t="n">
        <f aca="false">K72*1000000/(K18*1000)</f>
        <v>460.396119412417</v>
      </c>
      <c r="L77" s="76" t="n">
        <f aca="false">L72*1000000/(L18*1000)</f>
        <v>466.386209126427</v>
      </c>
      <c r="M77" s="76" t="n">
        <f aca="false">M72*1000000/(M18*1000)</f>
        <v>472.668970107958</v>
      </c>
    </row>
  </sheetData>
  <mergeCells count="15">
    <mergeCell ref="A1:M1"/>
    <mergeCell ref="A2:M2"/>
    <mergeCell ref="A13:M13"/>
    <mergeCell ref="A15:M15"/>
    <mergeCell ref="A22:M22"/>
    <mergeCell ref="A25:M25"/>
    <mergeCell ref="A28:M28"/>
    <mergeCell ref="A35:M35"/>
    <mergeCell ref="A40:M40"/>
    <mergeCell ref="A43:M43"/>
    <mergeCell ref="A50:M50"/>
    <mergeCell ref="A58:M58"/>
    <mergeCell ref="A60:M60"/>
    <mergeCell ref="A71:M71"/>
    <mergeCell ref="A76:M76"/>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13" min="2" style="0" width="12"/>
  </cols>
  <sheetData>
    <row r="1" customFormat="false" ht="21.75" hidden="false" customHeight="true" outlineLevel="0" collapsed="false">
      <c r="A1" s="19" t="s">
        <v>186</v>
      </c>
      <c r="B1" s="19"/>
      <c r="C1" s="19"/>
      <c r="D1" s="19"/>
      <c r="E1" s="19"/>
      <c r="F1" s="19"/>
      <c r="G1" s="19"/>
      <c r="H1" s="19"/>
      <c r="I1" s="19"/>
      <c r="J1" s="19"/>
      <c r="K1" s="19"/>
      <c r="L1" s="19"/>
      <c r="M1" s="19"/>
    </row>
    <row r="2" customFormat="false" ht="15.75" hidden="false" customHeight="true" outlineLevel="0" collapsed="false">
      <c r="A2" s="20" t="s">
        <v>450</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451</v>
      </c>
      <c r="B7" s="5"/>
      <c r="C7" s="5"/>
      <c r="D7" s="5"/>
      <c r="E7" s="5"/>
      <c r="F7" s="5"/>
      <c r="G7" s="5"/>
      <c r="H7" s="5"/>
      <c r="I7" s="5"/>
      <c r="J7" s="5"/>
      <c r="K7" s="5"/>
      <c r="L7" s="5"/>
      <c r="M7" s="5"/>
    </row>
    <row r="8" customFormat="false" ht="15" hidden="false" customHeight="false" outlineLevel="0" collapsed="false">
      <c r="A8" s="38" t="s">
        <v>452</v>
      </c>
      <c r="B8" s="24" t="n">
        <f aca="false">'Revenue Build'!B72</f>
        <v>106005</v>
      </c>
      <c r="C8" s="24" t="n">
        <f aca="false">'Revenue Build'!C72</f>
        <v>109120</v>
      </c>
      <c r="D8" s="24" t="n">
        <f aca="false">'Revenue Build'!D72</f>
        <v>107412</v>
      </c>
      <c r="E8" s="24" t="n">
        <f aca="false">'Revenue Build'!E72</f>
        <v>106566</v>
      </c>
      <c r="F8" s="24" t="n">
        <f aca="false">'Revenue Build'!F72</f>
        <v>104780</v>
      </c>
      <c r="G8" s="24" t="n">
        <f aca="false">'Revenue Build'!G72</f>
        <v>110010.971659967</v>
      </c>
      <c r="H8" s="24" t="n">
        <f aca="false">'Revenue Build'!H72</f>
        <v>114132.857033237</v>
      </c>
      <c r="I8" s="24" t="n">
        <f aca="false">'Revenue Build'!I72</f>
        <v>117379.264579684</v>
      </c>
      <c r="J8" s="24" t="n">
        <f aca="false">'Revenue Build'!J72</f>
        <v>120425.67178023</v>
      </c>
      <c r="K8" s="24" t="n">
        <f aca="false">'Revenue Build'!K72</f>
        <v>123545.477158804</v>
      </c>
      <c r="L8" s="24" t="n">
        <f aca="false">'Revenue Build'!L72</f>
        <v>126607.821889093</v>
      </c>
      <c r="M8" s="24" t="n">
        <f aca="false">'Revenue Build'!M72</f>
        <v>129787.902913821</v>
      </c>
    </row>
    <row r="9" customFormat="false" ht="15" hidden="false" customHeight="false" outlineLevel="0" collapsed="false">
      <c r="A9" s="6" t="s">
        <v>453</v>
      </c>
      <c r="B9" s="46" t="n">
        <v>74963</v>
      </c>
      <c r="C9" s="46" t="n">
        <v>82229</v>
      </c>
      <c r="D9" s="46" t="n">
        <v>77736</v>
      </c>
      <c r="E9" s="46" t="n">
        <v>76502</v>
      </c>
      <c r="F9" s="46" t="n">
        <v>75511</v>
      </c>
      <c r="G9" s="46"/>
      <c r="H9" s="46"/>
      <c r="I9" s="46"/>
      <c r="J9" s="46"/>
      <c r="K9" s="46"/>
      <c r="L9" s="46"/>
      <c r="M9" s="46"/>
    </row>
    <row r="10" customFormat="false" ht="15" hidden="false" customHeight="false" outlineLevel="0" collapsed="false">
      <c r="A10" s="16" t="s">
        <v>454</v>
      </c>
      <c r="B10" s="16"/>
      <c r="C10" s="16"/>
      <c r="D10" s="16"/>
      <c r="E10" s="16"/>
      <c r="F10" s="16"/>
      <c r="G10" s="16"/>
      <c r="H10" s="16"/>
      <c r="I10" s="16"/>
      <c r="J10" s="16"/>
      <c r="K10" s="16"/>
      <c r="L10" s="16"/>
      <c r="M10" s="16"/>
    </row>
    <row r="11" customFormat="false" ht="15" hidden="false" customHeight="false" outlineLevel="0" collapsed="false">
      <c r="A11" s="37" t="s">
        <v>455</v>
      </c>
      <c r="B11" s="67" t="n">
        <f aca="false">B8-B9</f>
        <v>31042</v>
      </c>
      <c r="C11" s="67" t="n">
        <f aca="false">C8-C9</f>
        <v>26891</v>
      </c>
      <c r="D11" s="67" t="n">
        <f aca="false">D8-D9</f>
        <v>29676</v>
      </c>
      <c r="E11" s="67" t="n">
        <f aca="false">E8-E9</f>
        <v>30064</v>
      </c>
      <c r="F11" s="67" t="n">
        <f aca="false">F8-F9</f>
        <v>29269</v>
      </c>
    </row>
    <row r="12" customFormat="false" ht="15" hidden="false" customHeight="false" outlineLevel="0" collapsed="false">
      <c r="A12" s="37" t="s">
        <v>300</v>
      </c>
      <c r="B12" s="68" t="n">
        <f aca="false">B11/B8</f>
        <v>0.292835243620584</v>
      </c>
      <c r="C12" s="68" t="n">
        <f aca="false">C11/C8</f>
        <v>0.246435117302053</v>
      </c>
      <c r="D12" s="68" t="n">
        <f aca="false">D11/D8</f>
        <v>0.276281979667076</v>
      </c>
      <c r="E12" s="68" t="n">
        <f aca="false">E11/E8</f>
        <v>0.282116247208303</v>
      </c>
      <c r="F12" s="68" t="n">
        <f aca="false">F11/F8</f>
        <v>0.279337659858752</v>
      </c>
    </row>
    <row r="14" customFormat="false" ht="15.75" hidden="false" customHeight="true" outlineLevel="0" collapsed="false">
      <c r="A14" s="5" t="s">
        <v>456</v>
      </c>
      <c r="B14" s="5"/>
      <c r="C14" s="5"/>
      <c r="D14" s="5"/>
      <c r="E14" s="5"/>
      <c r="F14" s="5"/>
      <c r="G14" s="5"/>
      <c r="H14" s="5"/>
      <c r="I14" s="5"/>
      <c r="J14" s="5"/>
      <c r="K14" s="5"/>
      <c r="L14" s="5"/>
      <c r="M14" s="5"/>
    </row>
    <row r="15" customFormat="false" ht="15" hidden="false" customHeight="false" outlineLevel="0" collapsed="false">
      <c r="A15" s="38" t="s">
        <v>457</v>
      </c>
      <c r="G15" s="77" t="n">
        <v>5</v>
      </c>
      <c r="H15" s="77" t="n">
        <v>5</v>
      </c>
      <c r="I15" s="77" t="n">
        <v>5</v>
      </c>
      <c r="J15" s="77" t="n">
        <v>5</v>
      </c>
      <c r="K15" s="77" t="n">
        <v>5</v>
      </c>
      <c r="L15" s="77" t="n">
        <v>5</v>
      </c>
      <c r="M15" s="77" t="n">
        <v>5</v>
      </c>
    </row>
    <row r="16" customFormat="false" ht="15" hidden="false" customHeight="false" outlineLevel="0" collapsed="false">
      <c r="A16" s="38" t="s">
        <v>458</v>
      </c>
      <c r="G16" s="77" t="n">
        <v>5</v>
      </c>
      <c r="H16" s="77" t="n">
        <v>5</v>
      </c>
      <c r="I16" s="77" t="n">
        <v>5</v>
      </c>
      <c r="J16" s="77" t="n">
        <v>5</v>
      </c>
      <c r="K16" s="77" t="n">
        <v>5</v>
      </c>
      <c r="L16" s="77" t="n">
        <v>5</v>
      </c>
      <c r="M16" s="77" t="n">
        <v>5</v>
      </c>
    </row>
    <row r="17" customFormat="false" ht="15" hidden="false" customHeight="false" outlineLevel="0" collapsed="false">
      <c r="A17" s="38" t="s">
        <v>459</v>
      </c>
      <c r="G17" s="77" t="n">
        <v>5</v>
      </c>
      <c r="H17" s="77" t="n">
        <v>5</v>
      </c>
      <c r="I17" s="77" t="n">
        <v>5</v>
      </c>
      <c r="J17" s="77" t="n">
        <v>5</v>
      </c>
      <c r="K17" s="77" t="n">
        <v>5</v>
      </c>
      <c r="L17" s="77" t="n">
        <v>5</v>
      </c>
      <c r="M17" s="77" t="n">
        <v>5</v>
      </c>
    </row>
    <row r="18" customFormat="false" ht="15" hidden="false" customHeight="false" outlineLevel="0" collapsed="false">
      <c r="A18" s="37" t="s">
        <v>460</v>
      </c>
      <c r="G18" s="78" t="n">
        <f aca="false">CHOOSE(Assumptions!B5,G15,G16,G17)</f>
        <v>5</v>
      </c>
      <c r="H18" s="78" t="n">
        <f aca="false">CHOOSE(Assumptions!B5,H15,H16,H17)</f>
        <v>5</v>
      </c>
      <c r="I18" s="78" t="n">
        <f aca="false">CHOOSE(Assumptions!B5,I15,I16,I17)</f>
        <v>5</v>
      </c>
      <c r="J18" s="78" t="n">
        <f aca="false">CHOOSE(Assumptions!B5,J15,J16,J17)</f>
        <v>5</v>
      </c>
      <c r="K18" s="78" t="n">
        <f aca="false">CHOOSE(Assumptions!B5,K15,K16,K17)</f>
        <v>5</v>
      </c>
      <c r="L18" s="78" t="n">
        <f aca="false">CHOOSE(Assumptions!B5,L15,L16,L17)</f>
        <v>5</v>
      </c>
      <c r="M18" s="78" t="n">
        <f aca="false">CHOOSE(Assumptions!B5,M15,M16,M17)</f>
        <v>5</v>
      </c>
    </row>
    <row r="19" customFormat="false" ht="15" hidden="false" customHeight="false" outlineLevel="0" collapsed="false">
      <c r="A19" s="45" t="s">
        <v>461</v>
      </c>
      <c r="B19" s="45"/>
      <c r="C19" s="45"/>
      <c r="D19" s="45"/>
      <c r="E19" s="45"/>
      <c r="F19" s="45"/>
      <c r="G19" s="45"/>
      <c r="H19" s="45"/>
      <c r="I19" s="45"/>
      <c r="J19" s="45"/>
      <c r="K19" s="45"/>
      <c r="L19" s="45"/>
      <c r="M19" s="45"/>
    </row>
    <row r="20" customFormat="false" ht="15" hidden="false" customHeight="false" outlineLevel="0" collapsed="false">
      <c r="A20" s="38" t="s">
        <v>462</v>
      </c>
      <c r="G20" s="77" t="n">
        <v>8</v>
      </c>
      <c r="H20" s="77" t="n">
        <v>8</v>
      </c>
      <c r="I20" s="77" t="n">
        <v>8</v>
      </c>
      <c r="J20" s="77" t="n">
        <v>5</v>
      </c>
      <c r="K20" s="77" t="n">
        <v>5</v>
      </c>
      <c r="L20" s="77" t="n">
        <v>5</v>
      </c>
      <c r="M20" s="77" t="n">
        <v>5</v>
      </c>
    </row>
    <row r="21" customFormat="false" ht="15" hidden="false" customHeight="false" outlineLevel="0" collapsed="false">
      <c r="A21" s="38" t="s">
        <v>463</v>
      </c>
      <c r="G21" s="77" t="n">
        <v>8</v>
      </c>
      <c r="H21" s="77" t="n">
        <v>8</v>
      </c>
      <c r="I21" s="77" t="n">
        <v>8</v>
      </c>
      <c r="J21" s="77" t="n">
        <v>5</v>
      </c>
      <c r="K21" s="77" t="n">
        <v>5</v>
      </c>
      <c r="L21" s="77" t="n">
        <v>5</v>
      </c>
      <c r="M21" s="77" t="n">
        <v>5</v>
      </c>
    </row>
    <row r="22" customFormat="false" ht="15" hidden="false" customHeight="false" outlineLevel="0" collapsed="false">
      <c r="A22" s="38" t="s">
        <v>464</v>
      </c>
      <c r="G22" s="77" t="n">
        <v>8</v>
      </c>
      <c r="H22" s="77" t="n">
        <v>8</v>
      </c>
      <c r="I22" s="77" t="n">
        <v>8</v>
      </c>
      <c r="J22" s="77" t="n">
        <v>5</v>
      </c>
      <c r="K22" s="77" t="n">
        <v>5</v>
      </c>
      <c r="L22" s="77" t="n">
        <v>5</v>
      </c>
      <c r="M22" s="77" t="n">
        <v>5</v>
      </c>
    </row>
    <row r="23" customFormat="false" ht="15" hidden="false" customHeight="false" outlineLevel="0" collapsed="false">
      <c r="A23" s="37" t="s">
        <v>465</v>
      </c>
      <c r="G23" s="78" t="n">
        <f aca="false">CHOOSE(Assumptions!B5,G20,G21,G22)</f>
        <v>8</v>
      </c>
      <c r="H23" s="78" t="n">
        <f aca="false">CHOOSE(Assumptions!B5,H20,H21,H22)</f>
        <v>8</v>
      </c>
      <c r="I23" s="78" t="n">
        <f aca="false">CHOOSE(Assumptions!B5,I20,I21,I22)</f>
        <v>8</v>
      </c>
      <c r="J23" s="78" t="n">
        <f aca="false">CHOOSE(Assumptions!B5,J20,J21,J22)</f>
        <v>5</v>
      </c>
      <c r="K23" s="78" t="n">
        <f aca="false">CHOOSE(Assumptions!B5,K20,K21,K22)</f>
        <v>5</v>
      </c>
      <c r="L23" s="78" t="n">
        <f aca="false">CHOOSE(Assumptions!B5,L20,L21,L22)</f>
        <v>5</v>
      </c>
      <c r="M23" s="78" t="n">
        <f aca="false">CHOOSE(Assumptions!B5,M20,M21,M22)</f>
        <v>5</v>
      </c>
    </row>
    <row r="24" customFormat="false" ht="15" hidden="false" customHeight="false" outlineLevel="0" collapsed="false">
      <c r="A24" s="45" t="s">
        <v>466</v>
      </c>
      <c r="B24" s="45"/>
      <c r="C24" s="45"/>
      <c r="D24" s="45"/>
      <c r="E24" s="45"/>
      <c r="F24" s="45"/>
      <c r="G24" s="45"/>
      <c r="H24" s="45"/>
      <c r="I24" s="45"/>
      <c r="J24" s="45"/>
      <c r="K24" s="45"/>
      <c r="L24" s="45"/>
      <c r="M24" s="45"/>
    </row>
    <row r="25" customFormat="false" ht="15" hidden="false" customHeight="false" outlineLevel="0" collapsed="false">
      <c r="A25" s="38" t="s">
        <v>467</v>
      </c>
      <c r="G25" s="77" t="n">
        <v>15</v>
      </c>
      <c r="H25" s="77" t="n">
        <v>5</v>
      </c>
      <c r="I25" s="77" t="n">
        <v>0</v>
      </c>
      <c r="J25" s="77" t="n">
        <v>0</v>
      </c>
      <c r="K25" s="77" t="n">
        <v>0</v>
      </c>
      <c r="L25" s="77" t="n">
        <v>0</v>
      </c>
      <c r="M25" s="77" t="n">
        <v>0</v>
      </c>
    </row>
    <row r="26" customFormat="false" ht="15" hidden="false" customHeight="false" outlineLevel="0" collapsed="false">
      <c r="A26" s="38" t="s">
        <v>468</v>
      </c>
      <c r="G26" s="77" t="n">
        <v>10</v>
      </c>
      <c r="H26" s="77" t="n">
        <v>0</v>
      </c>
      <c r="I26" s="77" t="n">
        <v>0</v>
      </c>
      <c r="J26" s="77" t="n">
        <v>0</v>
      </c>
      <c r="K26" s="77" t="n">
        <v>0</v>
      </c>
      <c r="L26" s="77" t="n">
        <v>0</v>
      </c>
      <c r="M26" s="77" t="n">
        <v>0</v>
      </c>
    </row>
    <row r="27" customFormat="false" ht="15" hidden="false" customHeight="false" outlineLevel="0" collapsed="false">
      <c r="A27" s="38" t="s">
        <v>469</v>
      </c>
      <c r="G27" s="77" t="n">
        <v>9</v>
      </c>
      <c r="H27" s="77" t="n">
        <v>0</v>
      </c>
      <c r="I27" s="77" t="n">
        <v>0</v>
      </c>
      <c r="J27" s="77" t="n">
        <v>0</v>
      </c>
      <c r="K27" s="77" t="n">
        <v>0</v>
      </c>
      <c r="L27" s="77" t="n">
        <v>0</v>
      </c>
      <c r="M27" s="77" t="n">
        <v>0</v>
      </c>
    </row>
    <row r="28" customFormat="false" ht="15" hidden="false" customHeight="false" outlineLevel="0" collapsed="false">
      <c r="A28" s="37" t="s">
        <v>470</v>
      </c>
      <c r="G28" s="78" t="n">
        <f aca="false">CHOOSE(Assumptions!B5,G25,G26,G27)</f>
        <v>10</v>
      </c>
      <c r="H28" s="78" t="n">
        <f aca="false">CHOOSE(Assumptions!B5,H25,H26,H27)</f>
        <v>0</v>
      </c>
      <c r="I28" s="78" t="n">
        <f aca="false">CHOOSE(Assumptions!B5,I25,I26,I27)</f>
        <v>0</v>
      </c>
      <c r="J28" s="78" t="n">
        <f aca="false">CHOOSE(Assumptions!B5,J25,J26,J27)</f>
        <v>0</v>
      </c>
      <c r="K28" s="78" t="n">
        <f aca="false">CHOOSE(Assumptions!B5,K25,K26,K27)</f>
        <v>0</v>
      </c>
      <c r="L28" s="78" t="n">
        <f aca="false">CHOOSE(Assumptions!B5,L25,L26,L27)</f>
        <v>0</v>
      </c>
      <c r="M28" s="78" t="n">
        <f aca="false">CHOOSE(Assumptions!B5,M25,M26,M27)</f>
        <v>0</v>
      </c>
    </row>
    <row r="29" customFormat="false" ht="15" hidden="false" customHeight="false" outlineLevel="0" collapsed="false">
      <c r="A29" s="45" t="s">
        <v>471</v>
      </c>
      <c r="B29" s="45"/>
      <c r="C29" s="45"/>
      <c r="D29" s="45"/>
      <c r="E29" s="45"/>
      <c r="F29" s="45"/>
      <c r="G29" s="45"/>
      <c r="H29" s="45"/>
      <c r="I29" s="45"/>
      <c r="J29" s="45"/>
      <c r="K29" s="45"/>
      <c r="L29" s="45"/>
      <c r="M29" s="45"/>
    </row>
    <row r="30" customFormat="false" ht="15" hidden="false" customHeight="false" outlineLevel="0" collapsed="false">
      <c r="A30" s="38" t="s">
        <v>472</v>
      </c>
      <c r="G30" s="77" t="n">
        <v>20</v>
      </c>
      <c r="H30" s="77" t="n">
        <v>12</v>
      </c>
      <c r="I30" s="77" t="n">
        <v>5</v>
      </c>
      <c r="J30" s="77" t="n">
        <v>0</v>
      </c>
      <c r="K30" s="77" t="n">
        <v>0</v>
      </c>
      <c r="L30" s="77" t="n">
        <v>0</v>
      </c>
      <c r="M30" s="77" t="n">
        <v>0</v>
      </c>
    </row>
    <row r="31" customFormat="false" ht="15" hidden="false" customHeight="false" outlineLevel="0" collapsed="false">
      <c r="A31" s="38" t="s">
        <v>473</v>
      </c>
      <c r="G31" s="77" t="n">
        <v>15</v>
      </c>
      <c r="H31" s="77" t="n">
        <v>8</v>
      </c>
      <c r="I31" s="77" t="n">
        <v>0</v>
      </c>
      <c r="J31" s="77" t="n">
        <v>0</v>
      </c>
      <c r="K31" s="77" t="n">
        <v>0</v>
      </c>
      <c r="L31" s="77" t="n">
        <v>0</v>
      </c>
      <c r="M31" s="77" t="n">
        <v>0</v>
      </c>
    </row>
    <row r="32" customFormat="false" ht="15" hidden="false" customHeight="false" outlineLevel="0" collapsed="false">
      <c r="A32" s="38" t="s">
        <v>474</v>
      </c>
      <c r="G32" s="77" t="n">
        <v>13</v>
      </c>
      <c r="H32" s="77" t="n">
        <v>8</v>
      </c>
      <c r="I32" s="77" t="n">
        <v>0</v>
      </c>
      <c r="J32" s="77" t="n">
        <v>0</v>
      </c>
      <c r="K32" s="77" t="n">
        <v>0</v>
      </c>
      <c r="L32" s="77" t="n">
        <v>0</v>
      </c>
      <c r="M32" s="77" t="n">
        <v>0</v>
      </c>
    </row>
    <row r="33" customFormat="false" ht="15" hidden="false" customHeight="false" outlineLevel="0" collapsed="false">
      <c r="A33" s="37" t="s">
        <v>475</v>
      </c>
      <c r="G33" s="78" t="n">
        <f aca="false">CHOOSE(Assumptions!B5,G30,G31,G32)</f>
        <v>15</v>
      </c>
      <c r="H33" s="78" t="n">
        <f aca="false">CHOOSE(Assumptions!B5,H30,H31,H32)</f>
        <v>8</v>
      </c>
      <c r="I33" s="78" t="n">
        <f aca="false">CHOOSE(Assumptions!B5,I30,I31,I32)</f>
        <v>0</v>
      </c>
      <c r="J33" s="78" t="n">
        <f aca="false">CHOOSE(Assumptions!B5,J30,J31,J32)</f>
        <v>0</v>
      </c>
      <c r="K33" s="78" t="n">
        <f aca="false">CHOOSE(Assumptions!B5,K30,K31,K32)</f>
        <v>0</v>
      </c>
      <c r="L33" s="78" t="n">
        <f aca="false">CHOOSE(Assumptions!B5,L30,L31,L32)</f>
        <v>0</v>
      </c>
      <c r="M33" s="78" t="n">
        <f aca="false">CHOOSE(Assumptions!B5,M30,M31,M32)</f>
        <v>0</v>
      </c>
    </row>
    <row r="34" customFormat="false" ht="15" hidden="false" customHeight="false" outlineLevel="0" collapsed="false">
      <c r="A34" s="45" t="s">
        <v>476</v>
      </c>
      <c r="B34" s="45"/>
      <c r="C34" s="45"/>
      <c r="D34" s="45"/>
      <c r="E34" s="45"/>
      <c r="F34" s="45"/>
      <c r="G34" s="45"/>
      <c r="H34" s="45"/>
      <c r="I34" s="45"/>
      <c r="J34" s="45"/>
      <c r="K34" s="45"/>
      <c r="L34" s="45"/>
      <c r="M34" s="45"/>
    </row>
    <row r="35" customFormat="false" ht="15" hidden="false" customHeight="false" outlineLevel="0" collapsed="false">
      <c r="A35" s="38" t="s">
        <v>477</v>
      </c>
      <c r="G35" s="77" t="n">
        <v>-4</v>
      </c>
      <c r="H35" s="77" t="n">
        <v>-2</v>
      </c>
      <c r="I35" s="77" t="n">
        <v>0</v>
      </c>
      <c r="J35" s="77" t="n">
        <v>0</v>
      </c>
      <c r="K35" s="77" t="n">
        <v>0</v>
      </c>
      <c r="L35" s="77" t="n">
        <v>0</v>
      </c>
      <c r="M35" s="77" t="n">
        <v>0</v>
      </c>
    </row>
    <row r="36" customFormat="false" ht="15" hidden="false" customHeight="false" outlineLevel="0" collapsed="false">
      <c r="A36" s="38" t="s">
        <v>478</v>
      </c>
      <c r="G36" s="77" t="n">
        <v>-8</v>
      </c>
      <c r="H36" s="77" t="n">
        <v>-8</v>
      </c>
      <c r="I36" s="77" t="n">
        <v>0</v>
      </c>
      <c r="J36" s="77" t="n">
        <v>0</v>
      </c>
      <c r="K36" s="77" t="n">
        <v>0</v>
      </c>
      <c r="L36" s="77" t="n">
        <v>0</v>
      </c>
      <c r="M36" s="77" t="n">
        <v>0</v>
      </c>
    </row>
    <row r="37" customFormat="false" ht="15" hidden="false" customHeight="false" outlineLevel="0" collapsed="false">
      <c r="A37" s="38" t="s">
        <v>479</v>
      </c>
      <c r="G37" s="77" t="n">
        <v>-8</v>
      </c>
      <c r="H37" s="77" t="n">
        <v>-8</v>
      </c>
      <c r="I37" s="77" t="n">
        <v>0</v>
      </c>
      <c r="J37" s="77" t="n">
        <v>0</v>
      </c>
      <c r="K37" s="77" t="n">
        <v>0</v>
      </c>
      <c r="L37" s="77" t="n">
        <v>0</v>
      </c>
      <c r="M37" s="77" t="n">
        <v>0</v>
      </c>
    </row>
    <row r="38" customFormat="false" ht="15" hidden="false" customHeight="false" outlineLevel="0" collapsed="false">
      <c r="A38" s="37" t="s">
        <v>480</v>
      </c>
      <c r="G38" s="78" t="n">
        <f aca="false">CHOOSE(Assumptions!B5,G35,G36,G37)</f>
        <v>-8</v>
      </c>
      <c r="H38" s="78" t="n">
        <f aca="false">CHOOSE(Assumptions!B5,H35,H36,H37)</f>
        <v>-8</v>
      </c>
      <c r="I38" s="78" t="n">
        <f aca="false">CHOOSE(Assumptions!B5,I35,I36,I37)</f>
        <v>0</v>
      </c>
      <c r="J38" s="78" t="n">
        <f aca="false">CHOOSE(Assumptions!B5,J35,J36,J37)</f>
        <v>0</v>
      </c>
      <c r="K38" s="78" t="n">
        <f aca="false">CHOOSE(Assumptions!B5,K35,K36,K37)</f>
        <v>0</v>
      </c>
      <c r="L38" s="78" t="n">
        <f aca="false">CHOOSE(Assumptions!B5,L35,L36,L37)</f>
        <v>0</v>
      </c>
      <c r="M38" s="78" t="n">
        <f aca="false">CHOOSE(Assumptions!B5,M35,M36,M37)</f>
        <v>0</v>
      </c>
    </row>
    <row r="39" customFormat="false" ht="15" hidden="false" customHeight="false" outlineLevel="0" collapsed="false">
      <c r="A39" s="45" t="s">
        <v>481</v>
      </c>
      <c r="B39" s="45"/>
      <c r="C39" s="45"/>
      <c r="D39" s="45"/>
      <c r="E39" s="45"/>
      <c r="F39" s="45"/>
      <c r="G39" s="45"/>
      <c r="H39" s="45"/>
      <c r="I39" s="45"/>
      <c r="J39" s="45"/>
      <c r="K39" s="45"/>
      <c r="L39" s="45"/>
      <c r="M39" s="45"/>
    </row>
    <row r="40" customFormat="false" ht="15" hidden="false" customHeight="false" outlineLevel="0" collapsed="false">
      <c r="A40" s="37" t="s">
        <v>482</v>
      </c>
      <c r="G40" s="79" t="n">
        <f aca="false">G18+G23+G28+G33+G38</f>
        <v>30</v>
      </c>
      <c r="H40" s="79" t="n">
        <f aca="false">H18+H23+H28+H33+H38</f>
        <v>13</v>
      </c>
      <c r="I40" s="79" t="n">
        <f aca="false">I18+I23+I28+I33+I38</f>
        <v>13</v>
      </c>
      <c r="J40" s="79" t="n">
        <f aca="false">J18+J23+J28+J33+J38</f>
        <v>10</v>
      </c>
      <c r="K40" s="79" t="n">
        <f aca="false">K18+K23+K28+K33+K38</f>
        <v>10</v>
      </c>
      <c r="L40" s="79" t="n">
        <f aca="false">L18+L23+L28+L33+L38</f>
        <v>10</v>
      </c>
      <c r="M40" s="79" t="n">
        <f aca="false">M18+M23+M28+M33+M38</f>
        <v>10</v>
      </c>
    </row>
    <row r="42" customFormat="false" ht="15.75" hidden="false" customHeight="true" outlineLevel="0" collapsed="false">
      <c r="A42" s="5" t="s">
        <v>483</v>
      </c>
      <c r="B42" s="5"/>
      <c r="C42" s="5"/>
      <c r="D42" s="5"/>
      <c r="E42" s="5"/>
      <c r="F42" s="5"/>
      <c r="G42" s="5"/>
      <c r="H42" s="5"/>
      <c r="I42" s="5"/>
      <c r="J42" s="5"/>
      <c r="K42" s="5"/>
      <c r="L42" s="5"/>
      <c r="M42" s="5"/>
    </row>
    <row r="43" customFormat="false" ht="15" hidden="false" customHeight="false" outlineLevel="0" collapsed="false">
      <c r="A43" s="37" t="s">
        <v>484</v>
      </c>
      <c r="G43" s="80" t="n">
        <f aca="false">F12+G40/10000</f>
        <v>0.282337659858752</v>
      </c>
      <c r="H43" s="80" t="n">
        <f aca="false">G43+H40/10000</f>
        <v>0.283637659858752</v>
      </c>
      <c r="I43" s="80" t="n">
        <f aca="false">H43+I40/10000</f>
        <v>0.284937659858752</v>
      </c>
      <c r="J43" s="80" t="n">
        <f aca="false">I43+J40/10000</f>
        <v>0.285937659858752</v>
      </c>
      <c r="K43" s="80" t="n">
        <f aca="false">J43+K40/10000</f>
        <v>0.286937659858752</v>
      </c>
      <c r="L43" s="80" t="n">
        <f aca="false">K43+L40/10000</f>
        <v>0.287937659858752</v>
      </c>
      <c r="M43" s="80" t="n">
        <f aca="false">L43+M40/10000</f>
        <v>0.288937659858752</v>
      </c>
    </row>
    <row r="44" customFormat="false" ht="15" hidden="false" customHeight="false" outlineLevel="0" collapsed="false">
      <c r="A44" s="37" t="s">
        <v>455</v>
      </c>
      <c r="B44" s="67" t="n">
        <f aca="false">B11</f>
        <v>31042</v>
      </c>
      <c r="C44" s="67" t="n">
        <f aca="false">C11</f>
        <v>26891</v>
      </c>
      <c r="D44" s="67" t="n">
        <f aca="false">D11</f>
        <v>29676</v>
      </c>
      <c r="E44" s="67" t="n">
        <f aca="false">E11</f>
        <v>30064</v>
      </c>
      <c r="F44" s="67" t="n">
        <f aca="false">F11</f>
        <v>29269</v>
      </c>
      <c r="G44" s="67" t="n">
        <f aca="false">G8*G43</f>
        <v>31060.2402972625</v>
      </c>
      <c r="H44" s="67" t="n">
        <f aca="false">H8*H43</f>
        <v>32372.3764819009</v>
      </c>
      <c r="I44" s="67" t="n">
        <f aca="false">I8*I43</f>
        <v>33445.7729652764</v>
      </c>
      <c r="J44" s="67" t="n">
        <f aca="false">J8*J43</f>
        <v>34434.234775757</v>
      </c>
      <c r="K44" s="67" t="n">
        <f aca="false">K8*K43</f>
        <v>35449.8501020801</v>
      </c>
      <c r="L44" s="67" t="n">
        <f aca="false">L8*L43</f>
        <v>36455.159954559</v>
      </c>
      <c r="M44" s="67" t="n">
        <f aca="false">M8*M43</f>
        <v>37500.6129458943</v>
      </c>
    </row>
    <row r="45" customFormat="false" ht="15" hidden="false" customHeight="false" outlineLevel="0" collapsed="false">
      <c r="A45" s="37" t="s">
        <v>453</v>
      </c>
      <c r="B45" s="67" t="n">
        <f aca="false">B9</f>
        <v>74963</v>
      </c>
      <c r="C45" s="67" t="n">
        <f aca="false">C9</f>
        <v>82229</v>
      </c>
      <c r="D45" s="67" t="n">
        <f aca="false">D9</f>
        <v>77736</v>
      </c>
      <c r="E45" s="67" t="n">
        <f aca="false">E9</f>
        <v>76502</v>
      </c>
      <c r="F45" s="67" t="n">
        <f aca="false">F9</f>
        <v>75511</v>
      </c>
      <c r="G45" s="67" t="n">
        <f aca="false">G8-G44</f>
        <v>78950.7313627043</v>
      </c>
      <c r="H45" s="67" t="n">
        <f aca="false">H8-H44</f>
        <v>81760.4805513365</v>
      </c>
      <c r="I45" s="67" t="n">
        <f aca="false">I8-I44</f>
        <v>83933.4916144075</v>
      </c>
      <c r="J45" s="67" t="n">
        <f aca="false">J8-J44</f>
        <v>85991.4370044727</v>
      </c>
      <c r="K45" s="67" t="n">
        <f aca="false">K8-K44</f>
        <v>88095.627056724</v>
      </c>
      <c r="L45" s="67" t="n">
        <f aca="false">L8-L44</f>
        <v>90152.6619345338</v>
      </c>
      <c r="M45" s="67" t="n">
        <f aca="false">M8-M44</f>
        <v>92287.2899679267</v>
      </c>
    </row>
    <row r="46" customFormat="false" ht="15" hidden="false" customHeight="false" outlineLevel="0" collapsed="false">
      <c r="A46" s="16" t="s">
        <v>485</v>
      </c>
      <c r="B46" s="16"/>
      <c r="C46" s="16"/>
      <c r="D46" s="16"/>
      <c r="E46" s="16"/>
      <c r="F46" s="16"/>
      <c r="G46" s="16"/>
      <c r="H46" s="16"/>
      <c r="I46" s="16"/>
      <c r="J46" s="16"/>
      <c r="K46" s="16"/>
      <c r="L46" s="16"/>
      <c r="M46" s="16"/>
    </row>
  </sheetData>
  <mergeCells count="9">
    <mergeCell ref="A1:M1"/>
    <mergeCell ref="A2:M2"/>
    <mergeCell ref="A10:M10"/>
    <mergeCell ref="A19:M19"/>
    <mergeCell ref="A24:M24"/>
    <mergeCell ref="A29:M29"/>
    <mergeCell ref="A34:M34"/>
    <mergeCell ref="A39:M39"/>
    <mergeCell ref="A46:M46"/>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6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13" min="2" style="0" width="12"/>
  </cols>
  <sheetData>
    <row r="1" customFormat="false" ht="21.75" hidden="false" customHeight="true" outlineLevel="0" collapsed="false">
      <c r="A1" s="19" t="s">
        <v>201</v>
      </c>
      <c r="B1" s="19"/>
      <c r="C1" s="19"/>
      <c r="D1" s="19"/>
      <c r="E1" s="19"/>
      <c r="F1" s="19"/>
      <c r="G1" s="19"/>
      <c r="H1" s="19"/>
      <c r="I1" s="19"/>
      <c r="J1" s="19"/>
      <c r="K1" s="19"/>
      <c r="L1" s="19"/>
      <c r="M1" s="19"/>
    </row>
    <row r="2" customFormat="false" ht="15.75" hidden="false" customHeight="true" outlineLevel="0" collapsed="false">
      <c r="A2" s="20" t="s">
        <v>486</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487</v>
      </c>
      <c r="B7" s="5"/>
      <c r="C7" s="5"/>
      <c r="D7" s="5"/>
      <c r="E7" s="5"/>
      <c r="F7" s="5"/>
      <c r="G7" s="5"/>
      <c r="H7" s="5"/>
      <c r="I7" s="5"/>
      <c r="J7" s="5"/>
      <c r="K7" s="5"/>
      <c r="L7" s="5"/>
      <c r="M7" s="5"/>
    </row>
    <row r="8" customFormat="false" ht="15" hidden="false" customHeight="false" outlineLevel="0" collapsed="false">
      <c r="A8" s="38" t="s">
        <v>452</v>
      </c>
      <c r="B8" s="24" t="n">
        <f aca="false">'Revenue Build'!B72</f>
        <v>106005</v>
      </c>
      <c r="C8" s="24" t="n">
        <f aca="false">'Revenue Build'!C72</f>
        <v>109120</v>
      </c>
      <c r="D8" s="24" t="n">
        <f aca="false">'Revenue Build'!D72</f>
        <v>107412</v>
      </c>
      <c r="E8" s="24" t="n">
        <f aca="false">'Revenue Build'!E72</f>
        <v>106566</v>
      </c>
      <c r="F8" s="24" t="n">
        <f aca="false">'Revenue Build'!F72</f>
        <v>104780</v>
      </c>
      <c r="G8" s="24" t="n">
        <f aca="false">'Revenue Build'!G72</f>
        <v>110010.971659967</v>
      </c>
      <c r="H8" s="24" t="n">
        <f aca="false">'Revenue Build'!H72</f>
        <v>114132.857033237</v>
      </c>
      <c r="I8" s="24" t="n">
        <f aca="false">'Revenue Build'!I72</f>
        <v>117379.264579684</v>
      </c>
      <c r="J8" s="24" t="n">
        <f aca="false">'Revenue Build'!J72</f>
        <v>120425.67178023</v>
      </c>
      <c r="K8" s="24" t="n">
        <f aca="false">'Revenue Build'!K72</f>
        <v>123545.477158804</v>
      </c>
      <c r="L8" s="24" t="n">
        <f aca="false">'Revenue Build'!L72</f>
        <v>126607.821889093</v>
      </c>
      <c r="M8" s="24" t="n">
        <f aca="false">'Revenue Build'!M72</f>
        <v>129787.902913821</v>
      </c>
    </row>
    <row r="9" customFormat="false" ht="15" hidden="false" customHeight="false" outlineLevel="0" collapsed="false">
      <c r="A9" s="37" t="s">
        <v>488</v>
      </c>
      <c r="B9" s="67" t="n">
        <v>19752</v>
      </c>
      <c r="C9" s="67" t="n">
        <v>20658</v>
      </c>
      <c r="D9" s="67" t="n">
        <v>21554</v>
      </c>
      <c r="E9" s="67" t="n">
        <v>21969</v>
      </c>
      <c r="F9" s="67" t="n">
        <v>21535</v>
      </c>
      <c r="G9" s="47" t="n">
        <f aca="false">G35+G43+G48+G56+G60+G64</f>
        <v>22300.8808912729</v>
      </c>
      <c r="H9" s="47" t="n">
        <f aca="false">H35+H43+H48+H56+H60+H64</f>
        <v>23228.4392216387</v>
      </c>
      <c r="I9" s="47" t="n">
        <f aca="false">I35+I43+I48+I56+I60+I64</f>
        <v>24107.8406497265</v>
      </c>
      <c r="J9" s="47" t="n">
        <f aca="false">J35+J43+J48+J56+J60+J64</f>
        <v>24987.2480004644</v>
      </c>
      <c r="K9" s="47" t="n">
        <f aca="false">K35+K43+K48+K56+K60+K64</f>
        <v>25889.0467585247</v>
      </c>
      <c r="L9" s="47" t="n">
        <f aca="false">L35+L43+L48+L56+L60+L64</f>
        <v>26804.4084130465</v>
      </c>
      <c r="M9" s="47" t="n">
        <f aca="false">M35+M43+M48+M56+M60+M64</f>
        <v>27749.8791078534</v>
      </c>
    </row>
    <row r="10" customFormat="false" ht="15" hidden="false" customHeight="false" outlineLevel="0" collapsed="false">
      <c r="A10" s="16" t="s">
        <v>489</v>
      </c>
      <c r="B10" s="16"/>
      <c r="C10" s="16"/>
      <c r="D10" s="16"/>
      <c r="E10" s="16"/>
      <c r="F10" s="16"/>
      <c r="G10" s="16"/>
      <c r="H10" s="16"/>
      <c r="I10" s="16"/>
      <c r="J10" s="16"/>
      <c r="K10" s="16"/>
      <c r="L10" s="16"/>
      <c r="M10" s="16"/>
    </row>
    <row r="11" customFormat="false" ht="15" hidden="false" customHeight="false" outlineLevel="0" collapsed="false">
      <c r="A11" s="38" t="s">
        <v>302</v>
      </c>
      <c r="B11" s="39" t="n">
        <f aca="false">B9/B8</f>
        <v>0.186330833451252</v>
      </c>
      <c r="C11" s="39" t="n">
        <f aca="false">C9/C8</f>
        <v>0.189314516129032</v>
      </c>
      <c r="D11" s="39" t="n">
        <f aca="false">D9/D8</f>
        <v>0.200666592187093</v>
      </c>
      <c r="E11" s="39" t="n">
        <f aca="false">E9/E8</f>
        <v>0.206153932774056</v>
      </c>
      <c r="F11" s="39" t="n">
        <f aca="false">F9/F8</f>
        <v>0.205525863714449</v>
      </c>
      <c r="G11" s="39" t="n">
        <f aca="false">G9/G8</f>
        <v>0.202715061550431</v>
      </c>
      <c r="H11" s="39" t="n">
        <f aca="false">H9/H8</f>
        <v>0.203521052792661</v>
      </c>
      <c r="I11" s="39" t="n">
        <f aca="false">I9/I8</f>
        <v>0.205384151417653</v>
      </c>
      <c r="J11" s="39" t="n">
        <f aca="false">J9/J8</f>
        <v>0.207491040997178</v>
      </c>
      <c r="K11" s="39" t="n">
        <f aca="false">K9/K8</f>
        <v>0.209550744826111</v>
      </c>
      <c r="L11" s="39" t="n">
        <f aca="false">L9/L8</f>
        <v>0.211712104458498</v>
      </c>
      <c r="M11" s="39" t="n">
        <f aca="false">M9/M8</f>
        <v>0.21380944205778</v>
      </c>
    </row>
    <row r="13" customFormat="false" ht="15.75" hidden="false" customHeight="true" outlineLevel="0" collapsed="false">
      <c r="A13" s="5" t="s">
        <v>490</v>
      </c>
      <c r="B13" s="5"/>
      <c r="C13" s="5"/>
      <c r="D13" s="5"/>
      <c r="E13" s="5"/>
      <c r="F13" s="5"/>
      <c r="G13" s="5"/>
      <c r="H13" s="5"/>
      <c r="I13" s="5"/>
      <c r="J13" s="5"/>
      <c r="K13" s="5"/>
      <c r="L13" s="5"/>
      <c r="M13" s="5"/>
    </row>
    <row r="14" customFormat="false" ht="15" hidden="false" customHeight="false" outlineLevel="0" collapsed="false">
      <c r="A14" s="38" t="s">
        <v>491</v>
      </c>
      <c r="F14" s="51" t="n">
        <v>0.55</v>
      </c>
    </row>
    <row r="15" customFormat="false" ht="15" hidden="false" customHeight="false" outlineLevel="0" collapsed="false">
      <c r="A15" s="38" t="s">
        <v>492</v>
      </c>
      <c r="F15" s="51" t="n">
        <v>0.15</v>
      </c>
    </row>
    <row r="16" customFormat="false" ht="15" hidden="false" customHeight="false" outlineLevel="0" collapsed="false">
      <c r="A16" s="38" t="s">
        <v>493</v>
      </c>
      <c r="F16" s="51" t="n">
        <v>0.08</v>
      </c>
    </row>
    <row r="17" customFormat="false" ht="15" hidden="false" customHeight="false" outlineLevel="0" collapsed="false">
      <c r="A17" s="38" t="s">
        <v>494</v>
      </c>
      <c r="F17" s="51" t="n">
        <v>0.12</v>
      </c>
    </row>
    <row r="18" customFormat="false" ht="15" hidden="false" customHeight="false" outlineLevel="0" collapsed="false">
      <c r="A18" s="38" t="s">
        <v>495</v>
      </c>
      <c r="F18" s="51" t="n">
        <v>0.07</v>
      </c>
    </row>
    <row r="19" customFormat="false" ht="15" hidden="false" customHeight="false" outlineLevel="0" collapsed="false">
      <c r="A19" s="38" t="s">
        <v>496</v>
      </c>
      <c r="F19" s="51" t="n">
        <v>0.03</v>
      </c>
    </row>
    <row r="20" customFormat="false" ht="15" hidden="false" customHeight="false" outlineLevel="0" collapsed="false">
      <c r="A20" s="38" t="s">
        <v>497</v>
      </c>
      <c r="F20" s="39" t="n">
        <f aca="false">F14+F15+F16+F17+F18+F19</f>
        <v>1</v>
      </c>
    </row>
    <row r="21" customFormat="false" ht="15" hidden="false" customHeight="false" outlineLevel="0" collapsed="false">
      <c r="A21" s="45" t="s">
        <v>498</v>
      </c>
      <c r="B21" s="45"/>
      <c r="C21" s="45"/>
      <c r="D21" s="45"/>
      <c r="E21" s="45"/>
      <c r="F21" s="45"/>
      <c r="G21" s="45"/>
      <c r="H21" s="45"/>
      <c r="I21" s="45"/>
      <c r="J21" s="45"/>
      <c r="K21" s="45"/>
      <c r="L21" s="45"/>
      <c r="M21" s="45"/>
    </row>
    <row r="23" customFormat="false" ht="15.75" hidden="false" customHeight="true" outlineLevel="0" collapsed="false">
      <c r="A23" s="5" t="s">
        <v>499</v>
      </c>
      <c r="B23" s="5"/>
      <c r="C23" s="5"/>
      <c r="D23" s="5"/>
      <c r="E23" s="5"/>
      <c r="F23" s="5"/>
      <c r="G23" s="5"/>
      <c r="H23" s="5"/>
      <c r="I23" s="5"/>
      <c r="J23" s="5"/>
      <c r="K23" s="5"/>
      <c r="L23" s="5"/>
      <c r="M23" s="5"/>
    </row>
    <row r="24" customFormat="false" ht="15" hidden="false" customHeight="false" outlineLevel="0" collapsed="false">
      <c r="A24" s="38" t="s">
        <v>500</v>
      </c>
      <c r="F24" s="71" t="n">
        <f aca="false">F14*F9</f>
        <v>11844.25</v>
      </c>
    </row>
    <row r="25" customFormat="false" ht="15" hidden="false" customHeight="false" outlineLevel="0" collapsed="false">
      <c r="A25" s="38" t="s">
        <v>501</v>
      </c>
      <c r="G25" s="25" t="n">
        <f aca="false">'Revenue Build'!G17/'Revenue Build'!F17-1</f>
        <v>0.0123332494336774</v>
      </c>
      <c r="H25" s="25" t="n">
        <f aca="false">'Revenue Build'!H17/'Revenue Build'!G17-1</f>
        <v>0.0154152163102934</v>
      </c>
      <c r="I25" s="25" t="n">
        <f aca="false">'Revenue Build'!I17/'Revenue Build'!H17-1</f>
        <v>0.0142017629774731</v>
      </c>
      <c r="J25" s="25" t="n">
        <f aca="false">'Revenue Build'!J17/'Revenue Build'!I17-1</f>
        <v>0.0132786093674553</v>
      </c>
      <c r="K25" s="25" t="n">
        <f aca="false">'Revenue Build'!K17/'Revenue Build'!J17-1</f>
        <v>0.0126280676673816</v>
      </c>
      <c r="L25" s="25" t="n">
        <f aca="false">'Revenue Build'!L17/'Revenue Build'!K17-1</f>
        <v>0.012</v>
      </c>
      <c r="M25" s="25" t="n">
        <f aca="false">'Revenue Build'!M17/'Revenue Build'!L17-1</f>
        <v>0.0116252034410602</v>
      </c>
    </row>
    <row r="26" customFormat="false" ht="15" hidden="false" customHeight="false" outlineLevel="0" collapsed="false">
      <c r="A26" s="38" t="s">
        <v>502</v>
      </c>
      <c r="G26" s="12" t="n">
        <v>0.025</v>
      </c>
      <c r="H26" s="12" t="n">
        <v>0.025</v>
      </c>
      <c r="I26" s="12" t="n">
        <v>0.025</v>
      </c>
      <c r="J26" s="12" t="n">
        <v>0.025</v>
      </c>
      <c r="K26" s="12" t="n">
        <v>0.025</v>
      </c>
      <c r="L26" s="12" t="n">
        <v>0.025</v>
      </c>
      <c r="M26" s="12" t="n">
        <v>0.025</v>
      </c>
    </row>
    <row r="27" customFormat="false" ht="15" hidden="false" customHeight="false" outlineLevel="0" collapsed="false">
      <c r="G27" s="12" t="n">
        <v>0.03</v>
      </c>
      <c r="H27" s="12" t="n">
        <v>0.03</v>
      </c>
      <c r="I27" s="12" t="n">
        <v>0.03</v>
      </c>
      <c r="J27" s="12" t="n">
        <v>0.03</v>
      </c>
      <c r="K27" s="12" t="n">
        <v>0.03</v>
      </c>
      <c r="L27" s="12" t="n">
        <v>0.03</v>
      </c>
      <c r="M27" s="12" t="n">
        <v>0.03</v>
      </c>
    </row>
    <row r="28" customFormat="false" ht="15" hidden="false" customHeight="false" outlineLevel="0" collapsed="false">
      <c r="G28" s="12" t="n">
        <v>0.031</v>
      </c>
      <c r="H28" s="12" t="n">
        <v>0.0305</v>
      </c>
      <c r="I28" s="12" t="n">
        <v>0.03</v>
      </c>
      <c r="J28" s="12" t="n">
        <v>0.03</v>
      </c>
      <c r="K28" s="12" t="n">
        <v>0.03</v>
      </c>
      <c r="L28" s="12" t="n">
        <v>0.03</v>
      </c>
      <c r="M28" s="12" t="n">
        <v>0.03</v>
      </c>
    </row>
    <row r="29" customFormat="false" ht="15" hidden="false" customHeight="false" outlineLevel="0" collapsed="false">
      <c r="A29" s="38" t="s">
        <v>503</v>
      </c>
      <c r="G29" s="43" t="n">
        <f aca="false">CHOOSE(Assumptions!B5,G26,G27,G28)</f>
        <v>0.03</v>
      </c>
      <c r="H29" s="43" t="n">
        <f aca="false">CHOOSE(Assumptions!B5,H26,H27,H28)</f>
        <v>0.03</v>
      </c>
      <c r="I29" s="43" t="n">
        <f aca="false">CHOOSE(Assumptions!B5,I26,I27,I28)</f>
        <v>0.03</v>
      </c>
      <c r="J29" s="43" t="n">
        <f aca="false">CHOOSE(Assumptions!B5,J26,J27,J28)</f>
        <v>0.03</v>
      </c>
      <c r="K29" s="43" t="n">
        <f aca="false">CHOOSE(Assumptions!B5,K26,K27,K28)</f>
        <v>0.03</v>
      </c>
      <c r="L29" s="43" t="n">
        <f aca="false">CHOOSE(Assumptions!B5,L26,L27,L28)</f>
        <v>0.03</v>
      </c>
      <c r="M29" s="43" t="n">
        <f aca="false">CHOOSE(Assumptions!B5,M26,M27,M28)</f>
        <v>0.03</v>
      </c>
    </row>
    <row r="30" customFormat="false" ht="15" hidden="false" customHeight="false" outlineLevel="0" collapsed="false">
      <c r="A30" s="38" t="s">
        <v>504</v>
      </c>
      <c r="G30" s="12" t="n">
        <v>-0.008</v>
      </c>
      <c r="H30" s="12" t="n">
        <v>-0.008</v>
      </c>
      <c r="I30" s="12" t="n">
        <v>-0.008</v>
      </c>
      <c r="J30" s="12" t="n">
        <v>-0.008</v>
      </c>
      <c r="K30" s="12" t="n">
        <v>-0.008</v>
      </c>
      <c r="L30" s="12" t="n">
        <v>-0.008</v>
      </c>
      <c r="M30" s="12" t="n">
        <v>-0.008</v>
      </c>
    </row>
    <row r="31" customFormat="false" ht="15" hidden="false" customHeight="false" outlineLevel="0" collapsed="false">
      <c r="G31" s="12" t="n">
        <v>-0.005</v>
      </c>
      <c r="H31" s="12" t="n">
        <v>-0.005</v>
      </c>
      <c r="I31" s="12" t="n">
        <v>-0.005</v>
      </c>
      <c r="J31" s="12" t="n">
        <v>-0.005</v>
      </c>
      <c r="K31" s="12" t="n">
        <v>-0.005</v>
      </c>
      <c r="L31" s="12" t="n">
        <v>-0.005</v>
      </c>
      <c r="M31" s="12" t="n">
        <v>-0.005</v>
      </c>
    </row>
    <row r="32" customFormat="false" ht="15" hidden="false" customHeight="false" outlineLevel="0" collapsed="false">
      <c r="G32" s="12" t="n">
        <v>-0.0035</v>
      </c>
      <c r="H32" s="12" t="n">
        <v>-0.0045</v>
      </c>
      <c r="I32" s="12" t="n">
        <v>-0.005</v>
      </c>
      <c r="J32" s="12" t="n">
        <v>-0.005</v>
      </c>
      <c r="K32" s="12" t="n">
        <v>-0.005</v>
      </c>
      <c r="L32" s="12" t="n">
        <v>-0.005</v>
      </c>
      <c r="M32" s="12" t="n">
        <v>-0.005</v>
      </c>
    </row>
    <row r="33" customFormat="false" ht="15" hidden="false" customHeight="false" outlineLevel="0" collapsed="false">
      <c r="A33" s="38" t="s">
        <v>505</v>
      </c>
      <c r="G33" s="43" t="n">
        <f aca="false">CHOOSE(Assumptions!B5,G30,G31,G32)</f>
        <v>-0.005</v>
      </c>
      <c r="H33" s="43" t="n">
        <f aca="false">CHOOSE(Assumptions!B5,H30,H31,H32)</f>
        <v>-0.005</v>
      </c>
      <c r="I33" s="43" t="n">
        <f aca="false">CHOOSE(Assumptions!B5,I30,I31,I32)</f>
        <v>-0.005</v>
      </c>
      <c r="J33" s="43" t="n">
        <f aca="false">CHOOSE(Assumptions!B5,J30,J31,J32)</f>
        <v>-0.005</v>
      </c>
      <c r="K33" s="43" t="n">
        <f aca="false">CHOOSE(Assumptions!B5,K30,K31,K32)</f>
        <v>-0.005</v>
      </c>
      <c r="L33" s="43" t="n">
        <f aca="false">CHOOSE(Assumptions!B5,L30,L31,L32)</f>
        <v>-0.005</v>
      </c>
      <c r="M33" s="43" t="n">
        <f aca="false">CHOOSE(Assumptions!B5,M30,M31,M32)</f>
        <v>-0.005</v>
      </c>
    </row>
    <row r="34" customFormat="false" ht="15" hidden="false" customHeight="false" outlineLevel="0" collapsed="false">
      <c r="A34" s="45" t="s">
        <v>506</v>
      </c>
      <c r="B34" s="45"/>
      <c r="C34" s="45"/>
      <c r="D34" s="45"/>
      <c r="E34" s="45"/>
      <c r="F34" s="45"/>
      <c r="G34" s="45"/>
      <c r="H34" s="45"/>
      <c r="I34" s="45"/>
      <c r="J34" s="45"/>
      <c r="K34" s="45"/>
      <c r="L34" s="45"/>
      <c r="M34" s="45"/>
    </row>
    <row r="35" customFormat="false" ht="15" hidden="false" customHeight="false" outlineLevel="0" collapsed="false">
      <c r="A35" s="37" t="s">
        <v>507</v>
      </c>
      <c r="G35" s="67" t="n">
        <f aca="false">F24*(1+G25+G29+G33)</f>
        <v>12286.4343396048</v>
      </c>
      <c r="H35" s="67" t="n">
        <f aca="false">G35*(1+H25+H29+H33)</f>
        <v>12782.9932411222</v>
      </c>
      <c r="I35" s="67" t="n">
        <f aca="false">H35*(1+I25+I29+I33)</f>
        <v>13284.1091123033</v>
      </c>
      <c r="J35" s="67" t="n">
        <f aca="false">I35*(1+J25+J29+J33)</f>
        <v>13792.6063358078</v>
      </c>
      <c r="K35" s="67" t="n">
        <f aca="false">J35*(1+K25+K29+K33)</f>
        <v>14311.5954603211</v>
      </c>
      <c r="L35" s="67" t="n">
        <f aca="false">K35*(1+L25+L29+L33)</f>
        <v>14841.124492353</v>
      </c>
      <c r="M35" s="67" t="n">
        <f aca="false">L35*(1+M25+M29+M33)</f>
        <v>15384.6836961796</v>
      </c>
    </row>
    <row r="37" customFormat="false" ht="15.75" hidden="false" customHeight="true" outlineLevel="0" collapsed="false">
      <c r="A37" s="5" t="s">
        <v>508</v>
      </c>
      <c r="B37" s="5"/>
      <c r="C37" s="5"/>
      <c r="D37" s="5"/>
      <c r="E37" s="5"/>
      <c r="F37" s="5"/>
      <c r="G37" s="5"/>
      <c r="H37" s="5"/>
      <c r="I37" s="5"/>
      <c r="J37" s="5"/>
      <c r="K37" s="5"/>
      <c r="L37" s="5"/>
      <c r="M37" s="5"/>
    </row>
    <row r="38" customFormat="false" ht="15" hidden="false" customHeight="false" outlineLevel="0" collapsed="false">
      <c r="A38" s="38" t="s">
        <v>500</v>
      </c>
      <c r="F38" s="71" t="n">
        <f aca="false">F15*F9</f>
        <v>3230.25</v>
      </c>
    </row>
    <row r="39" customFormat="false" ht="15" hidden="false" customHeight="false" outlineLevel="0" collapsed="false">
      <c r="A39" s="38" t="s">
        <v>509</v>
      </c>
      <c r="G39" s="39" t="n">
        <f aca="false">G8/F8-1</f>
        <v>0.0499233790796596</v>
      </c>
      <c r="H39" s="39" t="n">
        <f aca="false">H8/G8-1</f>
        <v>0.0374679480698621</v>
      </c>
      <c r="I39" s="39" t="n">
        <f aca="false">I8/H8-1</f>
        <v>0.0284441100558885</v>
      </c>
      <c r="J39" s="39" t="n">
        <f aca="false">J8/I8-1</f>
        <v>0.0259535379732918</v>
      </c>
      <c r="K39" s="39" t="n">
        <f aca="false">K8/J8-1</f>
        <v>0.0259064810057099</v>
      </c>
      <c r="L39" s="39" t="n">
        <f aca="false">L8/K8-1</f>
        <v>0.0247871860687574</v>
      </c>
      <c r="M39" s="39" t="n">
        <f aca="false">M8/L8-1</f>
        <v>0.0251175715471506</v>
      </c>
    </row>
    <row r="40" customFormat="false" ht="15" hidden="false" customHeight="false" outlineLevel="0" collapsed="false">
      <c r="A40" s="6" t="s">
        <v>510</v>
      </c>
      <c r="G40" s="51" t="n">
        <v>0.025</v>
      </c>
      <c r="H40" s="51" t="n">
        <v>0.025</v>
      </c>
      <c r="I40" s="51" t="n">
        <v>0.025</v>
      </c>
      <c r="J40" s="51" t="n">
        <v>0.025</v>
      </c>
      <c r="K40" s="51" t="n">
        <v>0.025</v>
      </c>
      <c r="L40" s="51" t="n">
        <v>0.025</v>
      </c>
      <c r="M40" s="51" t="n">
        <v>0.025</v>
      </c>
    </row>
    <row r="41" customFormat="false" ht="15" hidden="false" customHeight="false" outlineLevel="0" collapsed="false">
      <c r="A41" s="6" t="s">
        <v>511</v>
      </c>
      <c r="G41" s="54" t="n">
        <v>180</v>
      </c>
      <c r="H41" s="54" t="n">
        <v>0</v>
      </c>
      <c r="I41" s="54" t="n">
        <v>0</v>
      </c>
      <c r="J41" s="54" t="n">
        <v>0</v>
      </c>
      <c r="K41" s="54" t="n">
        <v>0</v>
      </c>
      <c r="L41" s="54" t="n">
        <v>0</v>
      </c>
      <c r="M41" s="54" t="n">
        <v>0</v>
      </c>
    </row>
    <row r="42" customFormat="false" ht="15" hidden="false" customHeight="false" outlineLevel="0" collapsed="false">
      <c r="A42" s="16" t="s">
        <v>512</v>
      </c>
      <c r="B42" s="16"/>
      <c r="C42" s="16"/>
      <c r="D42" s="16"/>
      <c r="E42" s="16"/>
      <c r="F42" s="16"/>
      <c r="G42" s="16"/>
      <c r="H42" s="16"/>
      <c r="I42" s="16"/>
      <c r="J42" s="16"/>
      <c r="K42" s="16"/>
      <c r="L42" s="16"/>
      <c r="M42" s="16"/>
    </row>
    <row r="43" customFormat="false" ht="15" hidden="false" customHeight="false" outlineLevel="0" collapsed="false">
      <c r="A43" s="37" t="s">
        <v>513</v>
      </c>
      <c r="G43" s="67" t="n">
        <f aca="false">F38*(1+G39+G40)-G41</f>
        <v>3292.27124527207</v>
      </c>
      <c r="H43" s="67" t="n">
        <f aca="false">G43*(1+H39+H40)-H41</f>
        <v>3497.93267445363</v>
      </c>
      <c r="I43" s="67" t="n">
        <f aca="false">H43*(1+I39+I40)-I41</f>
        <v>3684.87657327521</v>
      </c>
      <c r="J43" s="67" t="n">
        <f aca="false">I43*(1+J39+J40)-J41</f>
        <v>3872.63407167849</v>
      </c>
      <c r="K43" s="67" t="n">
        <f aca="false">J43*(1+K39+K40)-K41</f>
        <v>4069.77624449045</v>
      </c>
      <c r="L43" s="67" t="n">
        <f aca="false">K43*(1+L39+L40)-L41</f>
        <v>4272.39895163311</v>
      </c>
      <c r="M43" s="67" t="n">
        <f aca="false">L43*(1+M39+M40)-M41</f>
        <v>4486.52121176955</v>
      </c>
    </row>
    <row r="45" customFormat="false" ht="15.75" hidden="false" customHeight="true" outlineLevel="0" collapsed="false">
      <c r="A45" s="5" t="s">
        <v>514</v>
      </c>
      <c r="B45" s="5"/>
      <c r="C45" s="5"/>
      <c r="D45" s="5"/>
      <c r="E45" s="5"/>
      <c r="F45" s="5"/>
      <c r="G45" s="5"/>
      <c r="H45" s="5"/>
      <c r="I45" s="5"/>
      <c r="J45" s="5"/>
      <c r="K45" s="5"/>
      <c r="L45" s="5"/>
      <c r="M45" s="5"/>
    </row>
    <row r="46" customFormat="false" ht="15" hidden="false" customHeight="false" outlineLevel="0" collapsed="false">
      <c r="A46" s="38" t="s">
        <v>500</v>
      </c>
      <c r="F46" s="71" t="n">
        <f aca="false">F16*F9</f>
        <v>1722.8</v>
      </c>
    </row>
    <row r="47" customFormat="false" ht="15" hidden="false" customHeight="false" outlineLevel="0" collapsed="false">
      <c r="A47" s="38" t="s">
        <v>515</v>
      </c>
      <c r="F47" s="81" t="n">
        <f aca="false">F46/F8</f>
        <v>0.0164420690971559</v>
      </c>
      <c r="G47" s="81" t="n">
        <f aca="false">F47</f>
        <v>0.0164420690971559</v>
      </c>
      <c r="H47" s="81" t="n">
        <f aca="false">F47</f>
        <v>0.0164420690971559</v>
      </c>
      <c r="I47" s="81" t="n">
        <f aca="false">F47</f>
        <v>0.0164420690971559</v>
      </c>
      <c r="J47" s="81" t="n">
        <f aca="false">F47</f>
        <v>0.0164420690971559</v>
      </c>
      <c r="K47" s="81" t="n">
        <f aca="false">F47</f>
        <v>0.0164420690971559</v>
      </c>
      <c r="L47" s="81" t="n">
        <f aca="false">F47</f>
        <v>0.0164420690971559</v>
      </c>
      <c r="M47" s="81" t="n">
        <f aca="false">F47</f>
        <v>0.0164420690971559</v>
      </c>
    </row>
    <row r="48" customFormat="false" ht="15" hidden="false" customHeight="false" outlineLevel="0" collapsed="false">
      <c r="A48" s="37" t="s">
        <v>516</v>
      </c>
      <c r="G48" s="67" t="n">
        <f aca="false">G8*G47</f>
        <v>1808.80799747844</v>
      </c>
      <c r="H48" s="67" t="n">
        <f aca="false">H8*H47</f>
        <v>1876.58032159631</v>
      </c>
      <c r="I48" s="67" t="n">
        <f aca="false">I8*I47</f>
        <v>1929.95797879251</v>
      </c>
      <c r="J48" s="67" t="n">
        <f aca="false">J8*J47</f>
        <v>1980.04721648196</v>
      </c>
      <c r="K48" s="67" t="n">
        <f aca="false">K8*K47</f>
        <v>2031.34327208616</v>
      </c>
      <c r="L48" s="67" t="n">
        <f aca="false">L8*L47</f>
        <v>2081.69455574088</v>
      </c>
      <c r="M48" s="67" t="n">
        <f aca="false">M8*M47</f>
        <v>2133.98166768401</v>
      </c>
    </row>
    <row r="50" customFormat="false" ht="15.75" hidden="false" customHeight="true" outlineLevel="0" collapsed="false">
      <c r="A50" s="5" t="s">
        <v>517</v>
      </c>
      <c r="B50" s="5"/>
      <c r="C50" s="5"/>
      <c r="D50" s="5"/>
      <c r="E50" s="5"/>
      <c r="F50" s="5"/>
      <c r="G50" s="5"/>
      <c r="H50" s="5"/>
      <c r="I50" s="5"/>
      <c r="J50" s="5"/>
      <c r="K50" s="5"/>
      <c r="L50" s="5"/>
      <c r="M50" s="5"/>
    </row>
    <row r="51" customFormat="false" ht="15" hidden="false" customHeight="false" outlineLevel="0" collapsed="false">
      <c r="A51" s="38" t="s">
        <v>500</v>
      </c>
      <c r="F51" s="71" t="n">
        <f aca="false">F17*F9</f>
        <v>2584.2</v>
      </c>
    </row>
    <row r="52" customFormat="false" ht="15" hidden="false" customHeight="false" outlineLevel="0" collapsed="false">
      <c r="A52" s="38" t="s">
        <v>518</v>
      </c>
      <c r="B52" s="24" t="n">
        <f aca="false">B8*'Revenue Build'!B75</f>
        <v>20034.945</v>
      </c>
      <c r="C52" s="24" t="n">
        <f aca="false">C8*'Revenue Build'!C75</f>
        <v>20296.32</v>
      </c>
      <c r="D52" s="24" t="n">
        <f aca="false">D8*'Revenue Build'!D75</f>
        <v>19656.396</v>
      </c>
      <c r="E52" s="24" t="n">
        <f aca="false">E8*'Revenue Build'!E75</f>
        <v>20886.936</v>
      </c>
      <c r="F52" s="24" t="n">
        <f aca="false">F8*'Revenue Build'!F75</f>
        <v>21584.68</v>
      </c>
      <c r="G52" s="9" t="n">
        <f aca="false">G8*'Revenue Build'!G75</f>
        <v>23322.3259919129</v>
      </c>
      <c r="H52" s="9" t="n">
        <f aca="false">H8*'Revenue Build'!H75</f>
        <v>24880.9628332458</v>
      </c>
      <c r="I52" s="9" t="n">
        <f aca="false">I8*'Revenue Build'!I75</f>
        <v>26292.9552658492</v>
      </c>
      <c r="J52" s="9" t="n">
        <f aca="false">J8*'Revenue Build'!J75</f>
        <v>27697.9045094528</v>
      </c>
      <c r="K52" s="9" t="n">
        <f aca="false">K8*'Revenue Build'!K75</f>
        <v>29156.7326094778</v>
      </c>
      <c r="L52" s="9" t="n">
        <f aca="false">L8*'Revenue Build'!L75</f>
        <v>30639.0928971605</v>
      </c>
      <c r="M52" s="9" t="n">
        <f aca="false">M8*'Revenue Build'!M75</f>
        <v>32187.3999226276</v>
      </c>
    </row>
    <row r="53" customFormat="false" ht="15" hidden="false" customHeight="false" outlineLevel="0" collapsed="false">
      <c r="A53" s="38" t="s">
        <v>519</v>
      </c>
      <c r="G53" s="39" t="n">
        <f aca="false">G52/F52-1</f>
        <v>0.0805036716742127</v>
      </c>
      <c r="H53" s="39" t="n">
        <f aca="false">H52/G52-1</f>
        <v>0.0668302484869339</v>
      </c>
      <c r="I53" s="39" t="n">
        <f aca="false">I52/H52-1</f>
        <v>0.0567499112500873</v>
      </c>
      <c r="J53" s="39" t="n">
        <f aca="false">J52/I52-1</f>
        <v>0.0534344363118622</v>
      </c>
      <c r="K53" s="39" t="n">
        <f aca="false">K52/J52-1</f>
        <v>0.0526692587710764</v>
      </c>
      <c r="L53" s="39" t="n">
        <f aca="false">L52/K52-1</f>
        <v>0.0508410975789799</v>
      </c>
      <c r="M53" s="39" t="n">
        <f aca="false">M52/L52-1</f>
        <v>0.0505337096846832</v>
      </c>
    </row>
    <row r="54" customFormat="false" ht="15" hidden="false" customHeight="false" outlineLevel="0" collapsed="false">
      <c r="A54" s="6" t="s">
        <v>520</v>
      </c>
      <c r="F54" s="82" t="n">
        <v>0.6</v>
      </c>
    </row>
    <row r="55" customFormat="false" ht="15" hidden="false" customHeight="false" outlineLevel="0" collapsed="false">
      <c r="A55" s="45" t="s">
        <v>521</v>
      </c>
      <c r="B55" s="45"/>
      <c r="C55" s="45"/>
      <c r="D55" s="45"/>
      <c r="E55" s="45"/>
      <c r="F55" s="45"/>
      <c r="G55" s="45"/>
      <c r="H55" s="45"/>
      <c r="I55" s="45"/>
      <c r="J55" s="45"/>
      <c r="K55" s="45"/>
      <c r="L55" s="45"/>
      <c r="M55" s="45"/>
    </row>
    <row r="56" customFormat="false" ht="15" hidden="false" customHeight="false" outlineLevel="0" collapsed="false">
      <c r="A56" s="37" t="s">
        <v>522</v>
      </c>
      <c r="G56" s="67" t="n">
        <f aca="false">F51*(1+F54*G53)</f>
        <v>2709.0225530043</v>
      </c>
      <c r="H56" s="67" t="n">
        <f aca="false">G56*(1+F54*H53)</f>
        <v>2817.64934322869</v>
      </c>
      <c r="I56" s="67" t="n">
        <f aca="false">H56*(1+F54*I53)</f>
        <v>2913.59015332595</v>
      </c>
      <c r="J56" s="67" t="n">
        <f aca="false">I56*(1+F54*J53)</f>
        <v>3007.00178181801</v>
      </c>
      <c r="K56" s="67" t="n">
        <f aca="false">J56*(1+F54*K53)</f>
        <v>3102.027714801</v>
      </c>
      <c r="L56" s="67" t="n">
        <f aca="false">K56*(1+F54*L53)</f>
        <v>3196.65401104554</v>
      </c>
      <c r="M56" s="67" t="n">
        <f aca="false">L56*(1+F54*M53)</f>
        <v>3293.57728249947</v>
      </c>
    </row>
    <row r="58" customFormat="false" ht="15.75" hidden="false" customHeight="true" outlineLevel="0" collapsed="false">
      <c r="A58" s="5" t="s">
        <v>523</v>
      </c>
      <c r="B58" s="5"/>
      <c r="C58" s="5"/>
      <c r="D58" s="5"/>
      <c r="E58" s="5"/>
      <c r="F58" s="5"/>
      <c r="G58" s="5"/>
      <c r="H58" s="5"/>
      <c r="I58" s="5"/>
      <c r="J58" s="5"/>
      <c r="K58" s="5"/>
      <c r="L58" s="5"/>
      <c r="M58" s="5"/>
    </row>
    <row r="59" customFormat="false" ht="15" hidden="false" customHeight="false" outlineLevel="0" collapsed="false">
      <c r="A59" s="38" t="s">
        <v>500</v>
      </c>
      <c r="F59" s="71" t="n">
        <f aca="false">F18*F9</f>
        <v>1507.45</v>
      </c>
    </row>
    <row r="60" customFormat="false" ht="15" hidden="false" customHeight="false" outlineLevel="0" collapsed="false">
      <c r="A60" s="37" t="s">
        <v>524</v>
      </c>
      <c r="G60" s="67" t="n">
        <f aca="false">F59*(1+G25)</f>
        <v>1526.0417568588</v>
      </c>
      <c r="H60" s="67" t="n">
        <f aca="false">G60*(1+H25)</f>
        <v>1549.56602063932</v>
      </c>
      <c r="I60" s="67" t="n">
        <f aca="false">H60*(1+I25)</f>
        <v>1571.57258998238</v>
      </c>
      <c r="J60" s="67" t="n">
        <f aca="false">I60*(1+J25)</f>
        <v>1592.44088849736</v>
      </c>
      <c r="K60" s="67" t="n">
        <f aca="false">J60*(1+K25)</f>
        <v>1612.55033979361</v>
      </c>
      <c r="L60" s="67" t="n">
        <f aca="false">K60*(1+L25)</f>
        <v>1631.90094387113</v>
      </c>
      <c r="M60" s="67" t="n">
        <f aca="false">L60*(1+M25)</f>
        <v>1650.87212433929</v>
      </c>
    </row>
    <row r="62" customFormat="false" ht="15.75" hidden="false" customHeight="true" outlineLevel="0" collapsed="false">
      <c r="A62" s="5" t="s">
        <v>525</v>
      </c>
      <c r="B62" s="5"/>
      <c r="C62" s="5"/>
      <c r="D62" s="5"/>
      <c r="E62" s="5"/>
      <c r="F62" s="5"/>
      <c r="G62" s="5"/>
      <c r="H62" s="5"/>
      <c r="I62" s="5"/>
      <c r="J62" s="5"/>
      <c r="K62" s="5"/>
      <c r="L62" s="5"/>
      <c r="M62" s="5"/>
    </row>
    <row r="63" customFormat="false" ht="15" hidden="false" customHeight="false" outlineLevel="0" collapsed="false">
      <c r="A63" s="38" t="s">
        <v>500</v>
      </c>
      <c r="F63" s="71" t="n">
        <f aca="false">F19*F9</f>
        <v>646.05</v>
      </c>
    </row>
    <row r="64" customFormat="false" ht="15" hidden="false" customHeight="false" outlineLevel="0" collapsed="false">
      <c r="A64" s="37" t="s">
        <v>526</v>
      </c>
      <c r="G64" s="67" t="n">
        <f aca="false">F63*(1+G39)</f>
        <v>678.302999054414</v>
      </c>
      <c r="H64" s="67" t="n">
        <f aca="false">G64*(1+H39)</f>
        <v>703.717620598617</v>
      </c>
      <c r="I64" s="67" t="n">
        <f aca="false">H64*(1+I39)</f>
        <v>723.734242047192</v>
      </c>
      <c r="J64" s="67" t="n">
        <f aca="false">I64*(1+J39)</f>
        <v>742.517706180735</v>
      </c>
      <c r="K64" s="67" t="n">
        <f aca="false">J64*(1+K39)</f>
        <v>761.75372703231</v>
      </c>
      <c r="L64" s="67" t="n">
        <f aca="false">K64*(1+L39)</f>
        <v>780.635458402829</v>
      </c>
      <c r="M64" s="67" t="n">
        <f aca="false">L64*(1+M39)</f>
        <v>800.243125381505</v>
      </c>
    </row>
  </sheetData>
  <mergeCells count="7">
    <mergeCell ref="A1:M1"/>
    <mergeCell ref="A2:M2"/>
    <mergeCell ref="A10:M10"/>
    <mergeCell ref="A21:M21"/>
    <mergeCell ref="A34:M34"/>
    <mergeCell ref="A42:M42"/>
    <mergeCell ref="A55:M55"/>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6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50"/>
    <col collapsed="false" customWidth="true" hidden="false" outlineLevel="0" max="13" min="2" style="0" width="12"/>
  </cols>
  <sheetData>
    <row r="1" customFormat="false" ht="21.75" hidden="false" customHeight="true" outlineLevel="0" collapsed="false">
      <c r="A1" s="19" t="s">
        <v>527</v>
      </c>
      <c r="B1" s="19"/>
      <c r="C1" s="19"/>
      <c r="D1" s="19"/>
      <c r="E1" s="19"/>
      <c r="F1" s="19"/>
      <c r="G1" s="19"/>
      <c r="H1" s="19"/>
      <c r="I1" s="19"/>
      <c r="J1" s="19"/>
      <c r="K1" s="19"/>
      <c r="L1" s="19"/>
      <c r="M1" s="19"/>
    </row>
    <row r="2" customFormat="false" ht="15.75" hidden="false" customHeight="true" outlineLevel="0" collapsed="false">
      <c r="A2" s="20" t="s">
        <v>528</v>
      </c>
      <c r="B2" s="20"/>
      <c r="C2" s="20"/>
      <c r="D2" s="20"/>
      <c r="E2" s="20"/>
      <c r="F2" s="20"/>
      <c r="G2" s="20"/>
      <c r="H2" s="20"/>
      <c r="I2" s="20"/>
      <c r="J2" s="20"/>
      <c r="K2" s="20"/>
      <c r="L2" s="20"/>
      <c r="M2" s="20"/>
    </row>
    <row r="4" customFormat="false" ht="15" hidden="false" customHeight="true" outlineLevel="0" collapsed="false">
      <c r="B4" s="29" t="s">
        <v>283</v>
      </c>
      <c r="C4" s="29" t="s">
        <v>284</v>
      </c>
      <c r="D4" s="29" t="s">
        <v>285</v>
      </c>
      <c r="E4" s="29" t="s">
        <v>286</v>
      </c>
      <c r="F4" s="29" t="s">
        <v>287</v>
      </c>
      <c r="G4" s="29" t="s">
        <v>370</v>
      </c>
      <c r="H4" s="29" t="s">
        <v>371</v>
      </c>
      <c r="I4" s="29" t="s">
        <v>372</v>
      </c>
      <c r="J4" s="29" t="s">
        <v>373</v>
      </c>
      <c r="K4" s="29" t="s">
        <v>374</v>
      </c>
      <c r="L4" s="29" t="s">
        <v>375</v>
      </c>
      <c r="M4" s="29" t="s">
        <v>376</v>
      </c>
    </row>
    <row r="5" customFormat="false" ht="15" hidden="false" customHeight="false" outlineLevel="0" collapsed="false">
      <c r="B5" s="36" t="s">
        <v>288</v>
      </c>
      <c r="C5" s="36" t="s">
        <v>289</v>
      </c>
      <c r="D5" s="36" t="s">
        <v>290</v>
      </c>
      <c r="E5" s="36" t="s">
        <v>291</v>
      </c>
      <c r="F5" s="36" t="s">
        <v>292</v>
      </c>
      <c r="G5" s="36" t="s">
        <v>377</v>
      </c>
      <c r="H5" s="36" t="s">
        <v>378</v>
      </c>
      <c r="I5" s="36" t="s">
        <v>379</v>
      </c>
      <c r="J5" s="36" t="s">
        <v>380</v>
      </c>
      <c r="K5" s="36" t="s">
        <v>381</v>
      </c>
      <c r="L5" s="36" t="s">
        <v>382</v>
      </c>
      <c r="M5" s="36" t="s">
        <v>383</v>
      </c>
    </row>
    <row r="7" customFormat="false" ht="15.75" hidden="false" customHeight="true" outlineLevel="0" collapsed="false">
      <c r="A7" s="5" t="s">
        <v>529</v>
      </c>
      <c r="B7" s="5"/>
      <c r="C7" s="5"/>
      <c r="D7" s="5"/>
      <c r="E7" s="5"/>
      <c r="F7" s="5"/>
      <c r="G7" s="5"/>
      <c r="H7" s="5"/>
      <c r="I7" s="5"/>
      <c r="J7" s="5"/>
      <c r="K7" s="5"/>
      <c r="L7" s="5"/>
      <c r="M7" s="5"/>
    </row>
    <row r="8" customFormat="false" ht="15" hidden="false" customHeight="false" outlineLevel="0" collapsed="false">
      <c r="A8" s="38" t="s">
        <v>452</v>
      </c>
      <c r="B8" s="24" t="n">
        <f aca="false">'Revenue Build'!B72</f>
        <v>106005</v>
      </c>
      <c r="C8" s="24" t="n">
        <f aca="false">'Revenue Build'!C72</f>
        <v>109120</v>
      </c>
      <c r="D8" s="24" t="n">
        <f aca="false">'Revenue Build'!D72</f>
        <v>107412</v>
      </c>
      <c r="E8" s="24" t="n">
        <f aca="false">'Revenue Build'!E72</f>
        <v>106566</v>
      </c>
      <c r="F8" s="24" t="n">
        <f aca="false">'Revenue Build'!F72</f>
        <v>104780</v>
      </c>
      <c r="G8" s="24" t="n">
        <f aca="false">'Revenue Build'!G72</f>
        <v>110010.971659967</v>
      </c>
      <c r="H8" s="24" t="n">
        <f aca="false">'Revenue Build'!H72</f>
        <v>114132.857033237</v>
      </c>
      <c r="I8" s="24" t="n">
        <f aca="false">'Revenue Build'!I72</f>
        <v>117379.264579684</v>
      </c>
      <c r="J8" s="24" t="n">
        <f aca="false">'Revenue Build'!J72</f>
        <v>120425.67178023</v>
      </c>
      <c r="K8" s="24" t="n">
        <f aca="false">'Revenue Build'!K72</f>
        <v>123545.477158804</v>
      </c>
      <c r="L8" s="24" t="n">
        <f aca="false">'Revenue Build'!L72</f>
        <v>126607.821889093</v>
      </c>
      <c r="M8" s="24" t="n">
        <f aca="false">'Revenue Build'!M72</f>
        <v>129787.902913821</v>
      </c>
    </row>
    <row r="9" customFormat="false" ht="15" hidden="false" customHeight="false" outlineLevel="0" collapsed="false">
      <c r="A9" s="38" t="s">
        <v>530</v>
      </c>
      <c r="G9" s="42" t="n">
        <f aca="false">'Revenue Build'!G12</f>
        <v>32</v>
      </c>
      <c r="H9" s="42" t="n">
        <f aca="false">'Revenue Build'!H12</f>
        <v>30</v>
      </c>
      <c r="I9" s="42" t="n">
        <f aca="false">'Revenue Build'!I12</f>
        <v>28</v>
      </c>
      <c r="J9" s="42" t="n">
        <f aca="false">'Revenue Build'!J12</f>
        <v>27</v>
      </c>
      <c r="K9" s="42" t="n">
        <f aca="false">'Revenue Build'!K12</f>
        <v>26</v>
      </c>
      <c r="L9" s="42" t="n">
        <f aca="false">'Revenue Build'!L12</f>
        <v>25</v>
      </c>
      <c r="M9" s="42" t="n">
        <f aca="false">'Revenue Build'!M12</f>
        <v>25</v>
      </c>
    </row>
    <row r="10" customFormat="false" ht="15" hidden="false" customHeight="false" outlineLevel="0" collapsed="false">
      <c r="A10" s="38" t="s">
        <v>531</v>
      </c>
      <c r="G10" s="42" t="n">
        <f aca="false">'Revenue Build'!G39</f>
        <v>130</v>
      </c>
      <c r="H10" s="42" t="n">
        <f aca="false">'Revenue Build'!H39</f>
        <v>130</v>
      </c>
      <c r="I10" s="42" t="n">
        <f aca="false">'Revenue Build'!I39</f>
        <v>130</v>
      </c>
      <c r="J10" s="42" t="n">
        <f aca="false">'Revenue Build'!J39</f>
        <v>100</v>
      </c>
      <c r="K10" s="42" t="n">
        <f aca="false">'Revenue Build'!K39</f>
        <v>100</v>
      </c>
      <c r="L10" s="42" t="n">
        <f aca="false">'Revenue Build'!L39</f>
        <v>100</v>
      </c>
      <c r="M10" s="42" t="n">
        <f aca="false">'Revenue Build'!M39</f>
        <v>100</v>
      </c>
    </row>
    <row r="11" customFormat="false" ht="15" hidden="false" customHeight="false" outlineLevel="0" collapsed="false">
      <c r="A11" s="38" t="s">
        <v>532</v>
      </c>
      <c r="G11" s="42" t="n">
        <f aca="false">'Revenue Build'!G17</f>
        <v>2011</v>
      </c>
      <c r="H11" s="42" t="n">
        <f aca="false">'Revenue Build'!H17</f>
        <v>2042</v>
      </c>
      <c r="I11" s="42" t="n">
        <f aca="false">'Revenue Build'!I17</f>
        <v>2071</v>
      </c>
      <c r="J11" s="42" t="n">
        <f aca="false">'Revenue Build'!J17</f>
        <v>2098.5</v>
      </c>
      <c r="K11" s="42" t="n">
        <f aca="false">'Revenue Build'!K17</f>
        <v>2125</v>
      </c>
      <c r="L11" s="42" t="n">
        <f aca="false">'Revenue Build'!L17</f>
        <v>2150.5</v>
      </c>
      <c r="M11" s="42" t="n">
        <f aca="false">'Revenue Build'!M17</f>
        <v>2175.5</v>
      </c>
    </row>
    <row r="12" customFormat="false" ht="15" hidden="false" customHeight="false" outlineLevel="0" collapsed="false">
      <c r="A12" s="45" t="s">
        <v>533</v>
      </c>
      <c r="B12" s="45"/>
      <c r="C12" s="45"/>
      <c r="D12" s="45"/>
      <c r="E12" s="45"/>
      <c r="F12" s="45"/>
      <c r="G12" s="45"/>
      <c r="H12" s="45"/>
      <c r="I12" s="45"/>
      <c r="J12" s="45"/>
      <c r="K12" s="45"/>
      <c r="L12" s="45"/>
      <c r="M12" s="45"/>
    </row>
    <row r="14" customFormat="false" ht="15" hidden="false" customHeight="false" outlineLevel="0" collapsed="false">
      <c r="A14" s="38" t="s">
        <v>534</v>
      </c>
      <c r="G14" s="54" t="n">
        <v>750</v>
      </c>
    </row>
    <row r="15" customFormat="false" ht="15" hidden="false" customHeight="false" outlineLevel="0" collapsed="false">
      <c r="A15" s="38" t="s">
        <v>535</v>
      </c>
      <c r="G15" s="56" t="n">
        <f aca="false">G14/G9</f>
        <v>23.4375</v>
      </c>
      <c r="H15" s="56" t="n">
        <f aca="false">G15*(1+0.025)</f>
        <v>24.0234375</v>
      </c>
      <c r="I15" s="56" t="n">
        <f aca="false">H15*(1+0.025)</f>
        <v>24.6240234375</v>
      </c>
      <c r="J15" s="56" t="n">
        <f aca="false">I15*(1+0.025)</f>
        <v>25.2396240234375</v>
      </c>
      <c r="K15" s="56" t="n">
        <f aca="false">J15*(1+0.025)</f>
        <v>25.8706146240234</v>
      </c>
      <c r="L15" s="56" t="n">
        <f aca="false">K15*(1+0.025)</f>
        <v>26.517379989624</v>
      </c>
      <c r="M15" s="56" t="n">
        <f aca="false">L15*(1+0.025)</f>
        <v>27.1803144893646</v>
      </c>
    </row>
    <row r="16" customFormat="false" ht="15" hidden="false" customHeight="false" outlineLevel="0" collapsed="false">
      <c r="A16" s="37" t="s">
        <v>536</v>
      </c>
      <c r="G16" s="67" t="n">
        <f aca="false">G15*G9</f>
        <v>750</v>
      </c>
      <c r="H16" s="67" t="n">
        <f aca="false">H15*H9</f>
        <v>720.703125</v>
      </c>
      <c r="I16" s="67" t="n">
        <f aca="false">I15*I9</f>
        <v>689.47265625</v>
      </c>
      <c r="J16" s="67" t="n">
        <f aca="false">J15*J9</f>
        <v>681.469848632812</v>
      </c>
      <c r="K16" s="67" t="n">
        <f aca="false">K15*K9</f>
        <v>672.635980224609</v>
      </c>
      <c r="L16" s="67" t="n">
        <f aca="false">L15*L9</f>
        <v>662.9344997406</v>
      </c>
      <c r="M16" s="67" t="n">
        <f aca="false">M15*M9</f>
        <v>679.507862234115</v>
      </c>
    </row>
    <row r="17" customFormat="false" ht="15" hidden="false" customHeight="false" outlineLevel="0" collapsed="false">
      <c r="A17" s="16" t="s">
        <v>537</v>
      </c>
      <c r="B17" s="16"/>
      <c r="C17" s="16"/>
      <c r="D17" s="16"/>
      <c r="E17" s="16"/>
      <c r="F17" s="16"/>
      <c r="G17" s="16"/>
      <c r="H17" s="16"/>
      <c r="I17" s="16"/>
      <c r="J17" s="16"/>
      <c r="K17" s="16"/>
      <c r="L17" s="16"/>
      <c r="M17" s="16"/>
    </row>
    <row r="18" customFormat="false" ht="15" hidden="false" customHeight="false" outlineLevel="0" collapsed="false">
      <c r="A18" s="38" t="s">
        <v>538</v>
      </c>
      <c r="G18" s="54" t="n">
        <v>1000</v>
      </c>
    </row>
    <row r="19" customFormat="false" ht="15" hidden="false" customHeight="false" outlineLevel="0" collapsed="false">
      <c r="A19" s="38" t="s">
        <v>539</v>
      </c>
      <c r="G19" s="56" t="n">
        <f aca="false">G18/G10</f>
        <v>7.69230769230769</v>
      </c>
      <c r="H19" s="56" t="n">
        <f aca="false">G19*(1+0.025)</f>
        <v>7.88461538461538</v>
      </c>
      <c r="I19" s="56" t="n">
        <f aca="false">H19*(1+0.025)</f>
        <v>8.08173076923077</v>
      </c>
      <c r="J19" s="56" t="n">
        <f aca="false">I19*(1+0.025)</f>
        <v>8.28377403846154</v>
      </c>
      <c r="K19" s="56" t="n">
        <f aca="false">J19*(1+0.025)</f>
        <v>8.49086838942307</v>
      </c>
      <c r="L19" s="56" t="n">
        <f aca="false">K19*(1+0.025)</f>
        <v>8.70314009915865</v>
      </c>
      <c r="M19" s="56" t="n">
        <f aca="false">L19*(1+0.025)</f>
        <v>8.92071860163762</v>
      </c>
    </row>
    <row r="20" customFormat="false" ht="15" hidden="false" customHeight="false" outlineLevel="0" collapsed="false">
      <c r="A20" s="37" t="s">
        <v>540</v>
      </c>
      <c r="G20" s="67" t="n">
        <f aca="false">G19*G10</f>
        <v>1000</v>
      </c>
      <c r="H20" s="67" t="n">
        <f aca="false">H19*H10</f>
        <v>1025</v>
      </c>
      <c r="I20" s="67" t="n">
        <f aca="false">I19*I10</f>
        <v>1050.625</v>
      </c>
      <c r="J20" s="67" t="n">
        <f aca="false">J19*J10</f>
        <v>828.377403846154</v>
      </c>
      <c r="K20" s="67" t="n">
        <f aca="false">K19*K10</f>
        <v>849.086838942307</v>
      </c>
      <c r="L20" s="67" t="n">
        <f aca="false">L19*L10</f>
        <v>870.314009915865</v>
      </c>
      <c r="M20" s="67" t="n">
        <f aca="false">M19*M10</f>
        <v>892.071860163762</v>
      </c>
    </row>
    <row r="21" customFormat="false" ht="15" hidden="false" customHeight="false" outlineLevel="0" collapsed="false">
      <c r="A21" s="16" t="s">
        <v>541</v>
      </c>
      <c r="B21" s="16"/>
      <c r="C21" s="16"/>
      <c r="D21" s="16"/>
      <c r="E21" s="16"/>
      <c r="F21" s="16"/>
      <c r="G21" s="16"/>
      <c r="H21" s="16"/>
      <c r="I21" s="16"/>
      <c r="J21" s="16"/>
      <c r="K21" s="16"/>
      <c r="L21" s="16"/>
      <c r="M21" s="16"/>
    </row>
    <row r="22" customFormat="false" ht="15" hidden="false" customHeight="false" outlineLevel="0" collapsed="false">
      <c r="A22" s="38" t="s">
        <v>542</v>
      </c>
      <c r="G22" s="54" t="n">
        <v>1250</v>
      </c>
    </row>
    <row r="23" customFormat="false" ht="15" hidden="false" customHeight="false" outlineLevel="0" collapsed="false">
      <c r="A23" s="38" t="s">
        <v>543</v>
      </c>
      <c r="G23" s="81" t="n">
        <f aca="false">G22/G8</f>
        <v>0.0113625030407297</v>
      </c>
      <c r="H23" s="81" t="n">
        <f aca="false">G23</f>
        <v>0.0113625030407297</v>
      </c>
      <c r="I23" s="81" t="n">
        <f aca="false">G23</f>
        <v>0.0113625030407297</v>
      </c>
      <c r="J23" s="81" t="n">
        <f aca="false">G23</f>
        <v>0.0113625030407297</v>
      </c>
      <c r="K23" s="81" t="n">
        <f aca="false">G23</f>
        <v>0.0113625030407297</v>
      </c>
      <c r="L23" s="81" t="n">
        <f aca="false">G23</f>
        <v>0.0113625030407297</v>
      </c>
      <c r="M23" s="81" t="n">
        <f aca="false">G23</f>
        <v>0.0113625030407297</v>
      </c>
    </row>
    <row r="24" customFormat="false" ht="15" hidden="false" customHeight="false" outlineLevel="0" collapsed="false">
      <c r="A24" s="37" t="s">
        <v>544</v>
      </c>
      <c r="G24" s="67" t="n">
        <f aca="false">G23*G8</f>
        <v>1250</v>
      </c>
      <c r="H24" s="67" t="n">
        <f aca="false">H23*H8</f>
        <v>1296.83493508733</v>
      </c>
      <c r="I24" s="67" t="n">
        <f aca="false">I23*I8</f>
        <v>1333.72225070527</v>
      </c>
      <c r="J24" s="67" t="n">
        <f aca="false">J23*J8</f>
        <v>1368.33706178478</v>
      </c>
      <c r="K24" s="67" t="n">
        <f aca="false">K23*K8</f>
        <v>1403.78585988531</v>
      </c>
      <c r="L24" s="67" t="n">
        <f aca="false">L23*L8</f>
        <v>1438.58176119498</v>
      </c>
      <c r="M24" s="67" t="n">
        <f aca="false">M23*M8</f>
        <v>1474.71544150822</v>
      </c>
    </row>
    <row r="25" customFormat="false" ht="15" hidden="false" customHeight="false" outlineLevel="0" collapsed="false">
      <c r="A25" s="16" t="s">
        <v>545</v>
      </c>
      <c r="B25" s="16"/>
      <c r="C25" s="16"/>
      <c r="D25" s="16"/>
      <c r="E25" s="16"/>
      <c r="F25" s="16"/>
      <c r="G25" s="16"/>
      <c r="H25" s="16"/>
      <c r="I25" s="16"/>
      <c r="J25" s="16"/>
      <c r="K25" s="16"/>
      <c r="L25" s="16"/>
      <c r="M25" s="16"/>
    </row>
    <row r="26" customFormat="false" ht="15" hidden="false" customHeight="false" outlineLevel="0" collapsed="false">
      <c r="A26" s="38" t="s">
        <v>546</v>
      </c>
      <c r="G26" s="54" t="n">
        <v>1000</v>
      </c>
    </row>
    <row r="27" customFormat="false" ht="15" hidden="false" customHeight="false" outlineLevel="0" collapsed="false">
      <c r="A27" s="38" t="s">
        <v>547</v>
      </c>
      <c r="G27" s="81" t="n">
        <f aca="false">G26/G8</f>
        <v>0.00909000243258375</v>
      </c>
      <c r="H27" s="81" t="n">
        <f aca="false">G27</f>
        <v>0.00909000243258375</v>
      </c>
      <c r="I27" s="81" t="n">
        <f aca="false">G27</f>
        <v>0.00909000243258375</v>
      </c>
      <c r="J27" s="81" t="n">
        <f aca="false">G27</f>
        <v>0.00909000243258375</v>
      </c>
      <c r="K27" s="81" t="n">
        <f aca="false">G27</f>
        <v>0.00909000243258375</v>
      </c>
      <c r="L27" s="81" t="n">
        <f aca="false">G27</f>
        <v>0.00909000243258375</v>
      </c>
      <c r="M27" s="81" t="n">
        <f aca="false">G27</f>
        <v>0.00909000243258375</v>
      </c>
    </row>
    <row r="28" customFormat="false" ht="15" hidden="false" customHeight="false" outlineLevel="0" collapsed="false">
      <c r="A28" s="37" t="s">
        <v>548</v>
      </c>
      <c r="G28" s="67" t="n">
        <f aca="false">G27*G8</f>
        <v>1000</v>
      </c>
      <c r="H28" s="67" t="n">
        <f aca="false">H27*H8</f>
        <v>1037.46794806986</v>
      </c>
      <c r="I28" s="67" t="n">
        <f aca="false">I27*I8</f>
        <v>1066.97780056422</v>
      </c>
      <c r="J28" s="67" t="n">
        <f aca="false">J27*J8</f>
        <v>1094.66964942782</v>
      </c>
      <c r="K28" s="67" t="n">
        <f aca="false">K27*K8</f>
        <v>1123.02868790825</v>
      </c>
      <c r="L28" s="67" t="n">
        <f aca="false">L27*L8</f>
        <v>1150.86540895598</v>
      </c>
      <c r="M28" s="67" t="n">
        <f aca="false">M27*M8</f>
        <v>1179.77235320658</v>
      </c>
    </row>
    <row r="29" customFormat="false" ht="15" hidden="false" customHeight="false" outlineLevel="0" collapsed="false">
      <c r="A29" s="16" t="s">
        <v>545</v>
      </c>
      <c r="B29" s="16"/>
      <c r="C29" s="16"/>
      <c r="D29" s="16"/>
      <c r="E29" s="16"/>
      <c r="F29" s="16"/>
      <c r="G29" s="16"/>
      <c r="H29" s="16"/>
      <c r="I29" s="16"/>
      <c r="J29" s="16"/>
      <c r="K29" s="16"/>
      <c r="L29" s="16"/>
      <c r="M29" s="16"/>
    </row>
    <row r="30" customFormat="false" ht="15" hidden="false" customHeight="false" outlineLevel="0" collapsed="false">
      <c r="A30" s="38" t="s">
        <v>549</v>
      </c>
      <c r="G30" s="54" t="n">
        <v>1000</v>
      </c>
    </row>
    <row r="31" customFormat="false" ht="15" hidden="false" customHeight="false" outlineLevel="0" collapsed="false">
      <c r="A31" s="38" t="s">
        <v>550</v>
      </c>
      <c r="G31" s="56" t="n">
        <f aca="false">G30/G11</f>
        <v>0.497265042267529</v>
      </c>
      <c r="H31" s="56" t="n">
        <f aca="false">G31*(1+0.025)</f>
        <v>0.509696668324217</v>
      </c>
      <c r="I31" s="56" t="n">
        <f aca="false">H31*(1+0.025)</f>
        <v>0.522439085032322</v>
      </c>
      <c r="J31" s="56" t="n">
        <f aca="false">I31*(1+0.025)</f>
        <v>0.53550006215813</v>
      </c>
      <c r="K31" s="56" t="n">
        <f aca="false">J31*(1+0.025)</f>
        <v>0.548887563712083</v>
      </c>
      <c r="L31" s="56" t="n">
        <f aca="false">K31*(1+0.025)</f>
        <v>0.562609752804885</v>
      </c>
      <c r="M31" s="56" t="n">
        <f aca="false">L31*(1+0.025)</f>
        <v>0.576674996625007</v>
      </c>
    </row>
    <row r="32" customFormat="false" ht="15" hidden="false" customHeight="false" outlineLevel="0" collapsed="false">
      <c r="A32" s="37" t="s">
        <v>551</v>
      </c>
      <c r="G32" s="67" t="n">
        <f aca="false">G31*G11</f>
        <v>1000</v>
      </c>
      <c r="H32" s="67" t="n">
        <f aca="false">H31*H11</f>
        <v>1040.80059671805</v>
      </c>
      <c r="I32" s="67" t="n">
        <f aca="false">I31*I11</f>
        <v>1081.97134510194</v>
      </c>
      <c r="J32" s="67" t="n">
        <f aca="false">J31*J11</f>
        <v>1123.74688043884</v>
      </c>
      <c r="K32" s="67" t="n">
        <f aca="false">K31*K11</f>
        <v>1166.38607288818</v>
      </c>
      <c r="L32" s="67" t="n">
        <f aca="false">L31*L11</f>
        <v>1209.89227340691</v>
      </c>
      <c r="M32" s="67" t="n">
        <f aca="false">M31*M11</f>
        <v>1254.5564551577</v>
      </c>
    </row>
    <row r="33" customFormat="false" ht="15" hidden="false" customHeight="false" outlineLevel="0" collapsed="false">
      <c r="A33" s="16" t="s">
        <v>552</v>
      </c>
      <c r="B33" s="16"/>
      <c r="C33" s="16"/>
      <c r="D33" s="16"/>
      <c r="E33" s="16"/>
      <c r="F33" s="16"/>
      <c r="G33" s="16"/>
      <c r="H33" s="16"/>
      <c r="I33" s="16"/>
      <c r="J33" s="16"/>
      <c r="K33" s="16"/>
      <c r="L33" s="16"/>
      <c r="M33" s="16"/>
    </row>
    <row r="34" customFormat="false" ht="15" hidden="false" customHeight="false" outlineLevel="0" collapsed="false">
      <c r="A34" s="45" t="s">
        <v>553</v>
      </c>
      <c r="B34" s="45"/>
      <c r="C34" s="45"/>
      <c r="D34" s="45"/>
      <c r="E34" s="45"/>
      <c r="F34" s="45"/>
      <c r="G34" s="45"/>
      <c r="H34" s="45"/>
      <c r="I34" s="45"/>
      <c r="J34" s="45"/>
      <c r="K34" s="45"/>
      <c r="L34" s="45"/>
      <c r="M34" s="45"/>
    </row>
    <row r="35" customFormat="false" ht="15" hidden="false" customHeight="false" outlineLevel="0" collapsed="false">
      <c r="A35" s="37" t="s">
        <v>554</v>
      </c>
      <c r="G35" s="47" t="n">
        <f aca="false">G16+G20+G24+G28+G32</f>
        <v>5000</v>
      </c>
      <c r="H35" s="47" t="n">
        <f aca="false">H16+H20+H24+H28+H32</f>
        <v>5120.80660487524</v>
      </c>
      <c r="I35" s="47" t="n">
        <f aca="false">I16+I20+I24+I28+I32</f>
        <v>5222.76905262143</v>
      </c>
      <c r="J35" s="47" t="n">
        <f aca="false">J16+J20+J24+J28+J32</f>
        <v>5096.6008441304</v>
      </c>
      <c r="K35" s="47" t="n">
        <f aca="false">K16+K20+K24+K28+K32</f>
        <v>5214.92343984866</v>
      </c>
      <c r="L35" s="47" t="n">
        <f aca="false">L16+L20+L24+L28+L32</f>
        <v>5332.58795321434</v>
      </c>
      <c r="M35" s="47" t="n">
        <f aca="false">M16+M20+M24+M28+M32</f>
        <v>5480.62397227038</v>
      </c>
    </row>
    <row r="36" customFormat="false" ht="15" hidden="false" customHeight="false" outlineLevel="0" collapsed="false">
      <c r="A36" s="38" t="s">
        <v>555</v>
      </c>
      <c r="G36" s="39" t="n">
        <f aca="false">G35/G8</f>
        <v>0.0454500121629188</v>
      </c>
      <c r="H36" s="39" t="n">
        <f aca="false">H35/H8</f>
        <v>0.0448670675385264</v>
      </c>
      <c r="I36" s="39" t="n">
        <f aca="false">I35/I8</f>
        <v>0.044494818325224</v>
      </c>
      <c r="J36" s="39" t="n">
        <f aca="false">J35/J8</f>
        <v>0.042321547962227</v>
      </c>
      <c r="K36" s="39" t="n">
        <f aca="false">K35/K8</f>
        <v>0.042210557276374</v>
      </c>
      <c r="L36" s="39" t="n">
        <f aca="false">L35/L8</f>
        <v>0.042118945525227</v>
      </c>
      <c r="M36" s="39" t="n">
        <f aca="false">M35/M8</f>
        <v>0.0422275408510877</v>
      </c>
    </row>
    <row r="38" customFormat="false" ht="15.75" hidden="false" customHeight="true" outlineLevel="0" collapsed="false">
      <c r="A38" s="5" t="s">
        <v>556</v>
      </c>
      <c r="B38" s="5"/>
      <c r="C38" s="5"/>
      <c r="D38" s="5"/>
      <c r="E38" s="5"/>
      <c r="F38" s="5"/>
      <c r="G38" s="5"/>
      <c r="H38" s="5"/>
      <c r="I38" s="5"/>
      <c r="J38" s="5"/>
      <c r="K38" s="5"/>
      <c r="L38" s="5"/>
      <c r="M38" s="5"/>
    </row>
    <row r="39" customFormat="false" ht="15" hidden="false" customHeight="false" outlineLevel="0" collapsed="false">
      <c r="A39" s="16" t="s">
        <v>557</v>
      </c>
      <c r="B39" s="16"/>
      <c r="C39" s="16"/>
      <c r="D39" s="16"/>
      <c r="E39" s="16"/>
      <c r="F39" s="16"/>
      <c r="G39" s="16"/>
      <c r="H39" s="16"/>
      <c r="I39" s="16"/>
      <c r="J39" s="16"/>
      <c r="K39" s="16"/>
      <c r="L39" s="16"/>
      <c r="M39" s="16"/>
    </row>
    <row r="40" customFormat="false" ht="15" hidden="false" customHeight="false" outlineLevel="0" collapsed="false">
      <c r="A40" s="38" t="s">
        <v>558</v>
      </c>
      <c r="G40" s="46" t="n">
        <v>33749</v>
      </c>
      <c r="H40" s="71" t="n">
        <f aca="false">G42</f>
        <v>30576.594</v>
      </c>
      <c r="I40" s="71" t="n">
        <f aca="false">H42</f>
        <v>27702.394164</v>
      </c>
      <c r="J40" s="71" t="n">
        <f aca="false">I42</f>
        <v>25098.369112584</v>
      </c>
      <c r="K40" s="71" t="n">
        <f aca="false">J42</f>
        <v>22739.1224160011</v>
      </c>
      <c r="L40" s="71" t="n">
        <f aca="false">K42</f>
        <v>20601.644908897</v>
      </c>
      <c r="M40" s="71" t="n">
        <f aca="false">L42</f>
        <v>18665.0902874607</v>
      </c>
    </row>
    <row r="41" customFormat="false" ht="15" hidden="false" customHeight="false" outlineLevel="0" collapsed="false">
      <c r="A41" s="38" t="s">
        <v>559</v>
      </c>
      <c r="G41" s="71" t="n">
        <f aca="false">G40*0.094</f>
        <v>3172.406</v>
      </c>
      <c r="H41" s="71" t="n">
        <f aca="false">H40*0.094</f>
        <v>2874.199836</v>
      </c>
      <c r="I41" s="71" t="n">
        <f aca="false">I40*0.094</f>
        <v>2604.025051416</v>
      </c>
      <c r="J41" s="71" t="n">
        <f aca="false">J40*0.094</f>
        <v>2359.2466965829</v>
      </c>
      <c r="K41" s="71" t="n">
        <f aca="false">K40*0.094</f>
        <v>2137.4775071041</v>
      </c>
      <c r="L41" s="71" t="n">
        <f aca="false">L40*0.094</f>
        <v>1936.55462143632</v>
      </c>
      <c r="M41" s="71" t="n">
        <f aca="false">M40*0.094</f>
        <v>1754.5184870213</v>
      </c>
    </row>
    <row r="42" customFormat="false" ht="15" hidden="false" customHeight="false" outlineLevel="0" collapsed="false">
      <c r="A42" s="38" t="s">
        <v>560</v>
      </c>
      <c r="G42" s="71" t="n">
        <f aca="false">G40-G41</f>
        <v>30576.594</v>
      </c>
      <c r="H42" s="71" t="n">
        <f aca="false">H40-H41</f>
        <v>27702.394164</v>
      </c>
      <c r="I42" s="71" t="n">
        <f aca="false">I40-I41</f>
        <v>25098.369112584</v>
      </c>
      <c r="J42" s="71" t="n">
        <f aca="false">J40-J41</f>
        <v>22739.1224160011</v>
      </c>
      <c r="K42" s="71" t="n">
        <f aca="false">K40-K41</f>
        <v>20601.644908897</v>
      </c>
      <c r="L42" s="71" t="n">
        <f aca="false">L40-L41</f>
        <v>18665.0902874607</v>
      </c>
      <c r="M42" s="71" t="n">
        <f aca="false">M40-M41</f>
        <v>16910.5718004394</v>
      </c>
    </row>
    <row r="44" customFormat="false" ht="15" hidden="false" customHeight="false" outlineLevel="0" collapsed="false">
      <c r="A44" s="37" t="s">
        <v>561</v>
      </c>
    </row>
    <row r="45" customFormat="false" ht="15" hidden="false" customHeight="false" outlineLevel="0" collapsed="false">
      <c r="A45" s="38" t="s">
        <v>562</v>
      </c>
      <c r="G45" s="71" t="n">
        <f aca="false">G35/10.6*0.5</f>
        <v>235.849056603774</v>
      </c>
      <c r="H45" s="71" t="n">
        <f aca="false">G35/10.6*1</f>
        <v>471.698113207547</v>
      </c>
      <c r="I45" s="71" t="n">
        <f aca="false">G35/10.6*1</f>
        <v>471.698113207547</v>
      </c>
      <c r="J45" s="71" t="n">
        <f aca="false">G35/10.6*1</f>
        <v>471.698113207547</v>
      </c>
      <c r="K45" s="71" t="n">
        <f aca="false">G35/10.6*1</f>
        <v>471.698113207547</v>
      </c>
      <c r="L45" s="71" t="n">
        <f aca="false">G35/10.6*1</f>
        <v>471.698113207547</v>
      </c>
      <c r="M45" s="71" t="n">
        <f aca="false">G35/10.6*1</f>
        <v>471.698113207547</v>
      </c>
    </row>
    <row r="46" customFormat="false" ht="15" hidden="false" customHeight="false" outlineLevel="0" collapsed="false">
      <c r="A46" s="38" t="s">
        <v>563</v>
      </c>
      <c r="H46" s="71" t="n">
        <f aca="false">H35/10.6*0.5</f>
        <v>241.54748136204</v>
      </c>
      <c r="I46" s="71" t="n">
        <f aca="false">H35/10.6*1</f>
        <v>483.094962724079</v>
      </c>
      <c r="J46" s="71" t="n">
        <f aca="false">H35/10.6*1</f>
        <v>483.094962724079</v>
      </c>
      <c r="K46" s="71" t="n">
        <f aca="false">H35/10.6*1</f>
        <v>483.094962724079</v>
      </c>
      <c r="L46" s="71" t="n">
        <f aca="false">H35/10.6*1</f>
        <v>483.094962724079</v>
      </c>
      <c r="M46" s="71" t="n">
        <f aca="false">H35/10.6*1</f>
        <v>483.094962724079</v>
      </c>
    </row>
    <row r="47" customFormat="false" ht="15" hidden="false" customHeight="false" outlineLevel="0" collapsed="false">
      <c r="A47" s="38" t="s">
        <v>564</v>
      </c>
      <c r="I47" s="71" t="n">
        <f aca="false">I35/10.6*0.5</f>
        <v>246.35703078403</v>
      </c>
      <c r="J47" s="71" t="n">
        <f aca="false">I35/10.6*1</f>
        <v>492.714061568059</v>
      </c>
      <c r="K47" s="71" t="n">
        <f aca="false">I35/10.6*1</f>
        <v>492.714061568059</v>
      </c>
      <c r="L47" s="71" t="n">
        <f aca="false">I35/10.6*1</f>
        <v>492.714061568059</v>
      </c>
      <c r="M47" s="71" t="n">
        <f aca="false">I35/10.6*1</f>
        <v>492.714061568059</v>
      </c>
    </row>
    <row r="48" customFormat="false" ht="15" hidden="false" customHeight="false" outlineLevel="0" collapsed="false">
      <c r="A48" s="38" t="s">
        <v>565</v>
      </c>
      <c r="J48" s="71" t="n">
        <f aca="false">J35/10.6*0.5</f>
        <v>240.40570019483</v>
      </c>
      <c r="K48" s="71" t="n">
        <f aca="false">J35/10.6*1</f>
        <v>480.81140038966</v>
      </c>
      <c r="L48" s="71" t="n">
        <f aca="false">J35/10.6*1</f>
        <v>480.81140038966</v>
      </c>
      <c r="M48" s="71" t="n">
        <f aca="false">J35/10.6*1</f>
        <v>480.81140038966</v>
      </c>
    </row>
    <row r="49" customFormat="false" ht="15" hidden="false" customHeight="false" outlineLevel="0" collapsed="false">
      <c r="A49" s="38" t="s">
        <v>566</v>
      </c>
      <c r="K49" s="71" t="n">
        <f aca="false">K35/10.6*0.5</f>
        <v>245.986954709842</v>
      </c>
      <c r="L49" s="71" t="n">
        <f aca="false">K35/10.6*1</f>
        <v>491.973909419685</v>
      </c>
      <c r="M49" s="71" t="n">
        <f aca="false">K35/10.6*1</f>
        <v>491.973909419685</v>
      </c>
    </row>
    <row r="50" customFormat="false" ht="15" hidden="false" customHeight="false" outlineLevel="0" collapsed="false">
      <c r="A50" s="38" t="s">
        <v>567</v>
      </c>
      <c r="L50" s="71" t="n">
        <f aca="false">L35/10.6*0.5</f>
        <v>251.53716760445</v>
      </c>
      <c r="M50" s="71" t="n">
        <f aca="false">L35/10.6*1</f>
        <v>503.0743352089</v>
      </c>
    </row>
    <row r="51" customFormat="false" ht="15" hidden="false" customHeight="false" outlineLevel="0" collapsed="false">
      <c r="A51" s="38" t="s">
        <v>568</v>
      </c>
      <c r="M51" s="71" t="n">
        <f aca="false">M35/10.6*0.5</f>
        <v>258.519998691999</v>
      </c>
    </row>
    <row r="52" customFormat="false" ht="15" hidden="false" customHeight="false" outlineLevel="0" collapsed="false">
      <c r="A52" s="37" t="s">
        <v>569</v>
      </c>
      <c r="G52" s="67" t="n">
        <f aca="false">G45+G46+G47+G48+G49+G50+G51</f>
        <v>235.849056603774</v>
      </c>
      <c r="H52" s="67" t="n">
        <f aca="false">H45+H46+H47+H48+H49+H50+H51</f>
        <v>713.245594569587</v>
      </c>
      <c r="I52" s="67" t="n">
        <f aca="false">I45+I46+I47+I48+I49+I50+I51</f>
        <v>1201.15010671566</v>
      </c>
      <c r="J52" s="67" t="n">
        <f aca="false">J45+J46+J47+J48+J49+J50+J51</f>
        <v>1687.91283769452</v>
      </c>
      <c r="K52" s="67" t="n">
        <f aca="false">K45+K46+K47+K48+K49+K50+K51</f>
        <v>2174.30549259919</v>
      </c>
      <c r="L52" s="67" t="n">
        <f aca="false">L45+L46+L47+L48+L49+L50+L51</f>
        <v>2671.82961491348</v>
      </c>
      <c r="M52" s="67" t="n">
        <f aca="false">M45+M46+M47+M48+M49+M50+M51</f>
        <v>3181.88678120993</v>
      </c>
    </row>
    <row r="53" customFormat="false" ht="15" hidden="false" customHeight="false" outlineLevel="0" collapsed="false">
      <c r="A53" s="37" t="s">
        <v>570</v>
      </c>
      <c r="G53" s="47" t="n">
        <f aca="false">G41+G52</f>
        <v>3408.25505660377</v>
      </c>
      <c r="H53" s="47" t="n">
        <f aca="false">H41+H52</f>
        <v>3587.44543056959</v>
      </c>
      <c r="I53" s="47" t="n">
        <f aca="false">I41+I52</f>
        <v>3805.17515813166</v>
      </c>
      <c r="J53" s="47" t="n">
        <f aca="false">J41+J52</f>
        <v>4047.15953427741</v>
      </c>
      <c r="K53" s="47" t="n">
        <f aca="false">K41+K52</f>
        <v>4311.78299970329</v>
      </c>
      <c r="L53" s="47" t="n">
        <f aca="false">L41+L52</f>
        <v>4608.3842363498</v>
      </c>
      <c r="M53" s="47" t="n">
        <f aca="false">M41+M52</f>
        <v>4936.40526823123</v>
      </c>
    </row>
    <row r="55" customFormat="false" ht="15.75" hidden="false" customHeight="true" outlineLevel="0" collapsed="false">
      <c r="A55" s="5" t="s">
        <v>571</v>
      </c>
      <c r="B55" s="5"/>
      <c r="C55" s="5"/>
      <c r="D55" s="5"/>
      <c r="E55" s="5"/>
      <c r="F55" s="5"/>
      <c r="G55" s="5"/>
      <c r="H55" s="5"/>
      <c r="I55" s="5"/>
      <c r="J55" s="5"/>
      <c r="K55" s="5"/>
      <c r="L55" s="5"/>
      <c r="M55" s="5"/>
    </row>
    <row r="56" customFormat="false" ht="15" hidden="false" customHeight="false" outlineLevel="0" collapsed="false">
      <c r="A56" s="38" t="s">
        <v>572</v>
      </c>
      <c r="C56" s="73" t="n">
        <f aca="false">B59</f>
        <v>28181</v>
      </c>
      <c r="D56" s="73" t="n">
        <f aca="false">C59</f>
        <v>31512</v>
      </c>
      <c r="E56" s="73" t="n">
        <f aca="false">D59</f>
        <v>33096</v>
      </c>
      <c r="F56" s="73" t="n">
        <f aca="false">E59</f>
        <v>33022</v>
      </c>
      <c r="G56" s="71" t="n">
        <f aca="false">F59</f>
        <v>33749</v>
      </c>
      <c r="H56" s="71" t="n">
        <f aca="false">G59</f>
        <v>35340.7449433962</v>
      </c>
      <c r="I56" s="71" t="n">
        <f aca="false">H59</f>
        <v>36874.1061177019</v>
      </c>
      <c r="J56" s="71" t="n">
        <f aca="false">I59</f>
        <v>38291.7000121917</v>
      </c>
      <c r="K56" s="71" t="n">
        <f aca="false">J59</f>
        <v>39341.1413220446</v>
      </c>
      <c r="L56" s="71" t="n">
        <f aca="false">K59</f>
        <v>40244.28176219</v>
      </c>
      <c r="M56" s="71" t="n">
        <f aca="false">L59</f>
        <v>40968.4854790545</v>
      </c>
    </row>
    <row r="57" customFormat="false" ht="15" hidden="false" customHeight="false" outlineLevel="0" collapsed="false">
      <c r="A57" s="6" t="s">
        <v>573</v>
      </c>
      <c r="B57" s="46" t="n">
        <v>3544</v>
      </c>
      <c r="C57" s="46" t="n">
        <v>5528</v>
      </c>
      <c r="D57" s="46" t="n">
        <v>4806</v>
      </c>
      <c r="E57" s="46" t="n">
        <v>2891</v>
      </c>
      <c r="F57" s="46" t="n">
        <v>3727</v>
      </c>
      <c r="G57" s="71" t="n">
        <f aca="false">G35</f>
        <v>5000</v>
      </c>
      <c r="H57" s="71" t="n">
        <f aca="false">H35</f>
        <v>5120.80660487524</v>
      </c>
      <c r="I57" s="71" t="n">
        <f aca="false">I35</f>
        <v>5222.76905262143</v>
      </c>
      <c r="J57" s="71" t="n">
        <f aca="false">J35</f>
        <v>5096.6008441304</v>
      </c>
      <c r="K57" s="71" t="n">
        <f aca="false">K35</f>
        <v>5214.92343984866</v>
      </c>
      <c r="L57" s="71" t="n">
        <f aca="false">L35</f>
        <v>5332.58795321434</v>
      </c>
      <c r="M57" s="71" t="n">
        <f aca="false">M35</f>
        <v>5480.62397227038</v>
      </c>
    </row>
    <row r="58" customFormat="false" ht="15" hidden="false" customHeight="false" outlineLevel="0" collapsed="false">
      <c r="A58" s="6" t="s">
        <v>574</v>
      </c>
      <c r="B58" s="46" t="n">
        <v>-2642</v>
      </c>
      <c r="C58" s="46" t="n">
        <v>-2700</v>
      </c>
      <c r="D58" s="46" t="n">
        <v>-2801</v>
      </c>
      <c r="E58" s="46" t="n">
        <v>-2981</v>
      </c>
      <c r="F58" s="46" t="n">
        <v>-3134</v>
      </c>
      <c r="G58" s="71" t="n">
        <f aca="false">-G53</f>
        <v>-3408.25505660377</v>
      </c>
      <c r="H58" s="71" t="n">
        <f aca="false">-H53</f>
        <v>-3587.44543056959</v>
      </c>
      <c r="I58" s="71" t="n">
        <f aca="false">-I53</f>
        <v>-3805.17515813166</v>
      </c>
      <c r="J58" s="71" t="n">
        <f aca="false">-J53</f>
        <v>-4047.15953427741</v>
      </c>
      <c r="K58" s="71" t="n">
        <f aca="false">-K53</f>
        <v>-4311.78299970329</v>
      </c>
      <c r="L58" s="71" t="n">
        <f aca="false">-L53</f>
        <v>-4608.3842363498</v>
      </c>
      <c r="M58" s="71" t="n">
        <f aca="false">-M53</f>
        <v>-4936.40526823123</v>
      </c>
    </row>
    <row r="59" customFormat="false" ht="15" hidden="false" customHeight="false" outlineLevel="0" collapsed="false">
      <c r="A59" s="37" t="s">
        <v>575</v>
      </c>
      <c r="B59" s="67" t="n">
        <v>28181</v>
      </c>
      <c r="C59" s="67" t="n">
        <v>31512</v>
      </c>
      <c r="D59" s="67" t="n">
        <v>33096</v>
      </c>
      <c r="E59" s="67" t="n">
        <v>33022</v>
      </c>
      <c r="F59" s="67" t="n">
        <v>33749</v>
      </c>
      <c r="G59" s="47" t="n">
        <f aca="false">G56+G57+G58</f>
        <v>35340.7449433962</v>
      </c>
      <c r="H59" s="47" t="n">
        <f aca="false">H56+H57+H58</f>
        <v>36874.1061177019</v>
      </c>
      <c r="I59" s="47" t="n">
        <f aca="false">I56+I57+I58</f>
        <v>38291.7000121917</v>
      </c>
      <c r="J59" s="47" t="n">
        <f aca="false">J56+J57+J58</f>
        <v>39341.1413220446</v>
      </c>
      <c r="K59" s="47" t="n">
        <f aca="false">K56+K57+K58</f>
        <v>40244.28176219</v>
      </c>
      <c r="L59" s="47" t="n">
        <f aca="false">L56+L57+L58</f>
        <v>40968.4854790545</v>
      </c>
      <c r="M59" s="47" t="n">
        <f aca="false">M56+M57+M58</f>
        <v>41512.7041830937</v>
      </c>
    </row>
    <row r="60" customFormat="false" ht="15" hidden="false" customHeight="false" outlineLevel="0" collapsed="false">
      <c r="A60" s="38" t="s">
        <v>576</v>
      </c>
      <c r="C60" s="73" t="n">
        <f aca="false">C59-C56-C57-C58</f>
        <v>503</v>
      </c>
      <c r="D60" s="73" t="n">
        <f aca="false">D59-D56-D57-D58</f>
        <v>-421</v>
      </c>
      <c r="E60" s="73" t="n">
        <f aca="false">E59-E56-E57-E58</f>
        <v>16</v>
      </c>
      <c r="F60" s="73" t="n">
        <f aca="false">F59-F56-F57-F58</f>
        <v>134</v>
      </c>
      <c r="G60" s="73" t="n">
        <v>0</v>
      </c>
      <c r="H60" s="73" t="n">
        <v>0</v>
      </c>
      <c r="I60" s="73" t="n">
        <v>0</v>
      </c>
      <c r="J60" s="73" t="n">
        <v>0</v>
      </c>
      <c r="K60" s="73" t="n">
        <v>0</v>
      </c>
      <c r="L60" s="73" t="n">
        <v>0</v>
      </c>
      <c r="M60" s="73" t="n">
        <v>0</v>
      </c>
    </row>
    <row r="61" customFormat="false" ht="15" hidden="false" customHeight="false" outlineLevel="0" collapsed="false">
      <c r="A61" s="45" t="s">
        <v>577</v>
      </c>
      <c r="B61" s="45"/>
      <c r="C61" s="45"/>
      <c r="D61" s="45"/>
      <c r="E61" s="45"/>
      <c r="F61" s="45"/>
      <c r="G61" s="45"/>
      <c r="H61" s="45"/>
      <c r="I61" s="45"/>
      <c r="J61" s="45"/>
      <c r="K61" s="45"/>
      <c r="L61" s="45"/>
      <c r="M61" s="45"/>
    </row>
  </sheetData>
  <mergeCells count="11">
    <mergeCell ref="A1:M1"/>
    <mergeCell ref="A2:M2"/>
    <mergeCell ref="A12:M12"/>
    <mergeCell ref="A17:M17"/>
    <mergeCell ref="A21:M21"/>
    <mergeCell ref="A25:M25"/>
    <mergeCell ref="A29:M29"/>
    <mergeCell ref="A33:M33"/>
    <mergeCell ref="A34:M34"/>
    <mergeCell ref="A39:M39"/>
    <mergeCell ref="A61:M61"/>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2026-08-20T20:14:28Z</dcterms:created>
  <dc:creator>openpyxl</dc:creator>
  <dc:description/>
  <dc:language>en-US</dc:language>
  <cp:lastModifiedBy/>
  <dcterms:modified xsi:type="dcterms:W3CDTF">2026-08-20T20:14:40Z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